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charts/chartEx3.xml" ContentType="application/vnd.ms-office.chartex+xml"/>
  <Override PartName="/xl/charts/style11.xml" ContentType="application/vnd.ms-office.chartstyle+xml"/>
  <Override PartName="/xl/charts/colors11.xml" ContentType="application/vnd.ms-office.chartcolorstyle+xml"/>
  <Override PartName="/xl/charts/chartEx4.xml" ContentType="application/vnd.ms-office.chartex+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fileSharing readOnlyRecommended="1"/>
  <workbookPr hidePivotFieldList="1" defaultThemeVersion="166925"/>
  <mc:AlternateContent xmlns:mc="http://schemas.openxmlformats.org/markup-compatibility/2006">
    <mc:Choice Requires="x15">
      <x15ac:absPath xmlns:x15ac="http://schemas.microsoft.com/office/spreadsheetml/2010/11/ac" url="G:\Unidades compartidas\AMBIENTE\2- Sustentabilidad\Huella de Carbono y Hidrica\Huella 2024\"/>
    </mc:Choice>
  </mc:AlternateContent>
  <xr:revisionPtr revIDLastSave="0" documentId="13_ncr:1_{6964D99A-14AC-4550-B4F8-BD585665B7CF}" xr6:coauthVersionLast="47" xr6:coauthVersionMax="47" xr10:uidLastSave="{00000000-0000-0000-0000-000000000000}"/>
  <bookViews>
    <workbookView xWindow="-120" yWindow="-120" windowWidth="20730" windowHeight="11040" tabRatio="881" firstSheet="10" activeTab="17" xr2:uid="{00000000-000D-0000-FFFF-FFFF00000000}"/>
  </bookViews>
  <sheets>
    <sheet name="Intro Terra" sheetId="67" r:id="rId1"/>
    <sheet name="Cambios Nov-24" sheetId="68" r:id="rId2"/>
    <sheet name="IWCA GHG Boundaries" sheetId="58" r:id="rId3"/>
    <sheet name="Summary" sheetId="32" r:id="rId4"/>
    <sheet name="GHG Emissons Breakdown" sheetId="59" r:id="rId5"/>
    <sheet name="Audit Summary Form" sheetId="60" r:id="rId6"/>
    <sheet name="Emission Factors" sheetId="44" r:id="rId7"/>
    <sheet name="Stationary" sheetId="12" r:id="rId8"/>
    <sheet name="Mobile" sheetId="45" r:id="rId9"/>
    <sheet name="Soil and Fertilizer" sheetId="13" r:id="rId10"/>
    <sheet name="Onsite Waste" sheetId="9" r:id="rId11"/>
    <sheet name="Fugitive (refrigerants)" sheetId="48" r:id="rId12"/>
    <sheet name="Biomass Burning" sheetId="52" r:id="rId13"/>
    <sheet name="Land Conversion" sheetId="50" r:id="rId14"/>
    <sheet name="Electricity" sheetId="3" r:id="rId15"/>
    <sheet name="Packaging" sheetId="6" r:id="rId16"/>
    <sheet name="Purchased Products" sheetId="11" r:id="rId17"/>
    <sheet name="Product Transport" sheetId="10" r:id="rId18"/>
    <sheet name="Offsite Waste" sheetId="8" r:id="rId19"/>
    <sheet name="Post Consumer Waste" sheetId="49" r:id="rId20"/>
    <sheet name="Business Travel" sheetId="2" r:id="rId21"/>
    <sheet name="Employee Commuting" sheetId="46" r:id="rId22"/>
    <sheet name="Tasting Room Traffic" sheetId="51" r:id="rId23"/>
    <sheet name="Fertilizer Production" sheetId="56" r:id="rId24"/>
    <sheet name="Wine Storage Energy" sheetId="55" r:id="rId25"/>
    <sheet name="Vineyard - Row Cropping" sheetId="14" r:id="rId26"/>
    <sheet name="Winemaking" sheetId="16" r:id="rId27"/>
    <sheet name="Vineyard - Biomass Photosynth" sheetId="15" r:id="rId28"/>
    <sheet name="Compost Application" sheetId="57" r:id="rId29"/>
    <sheet name="Soil Carbon Sequestration" sheetId="53" r:id="rId30"/>
    <sheet name="Emission Factors (2)" sheetId="66" state="hidden" r:id="rId31"/>
  </sheets>
  <externalReferences>
    <externalReference r:id="rId32"/>
    <externalReference r:id="rId33"/>
    <externalReference r:id="rId34"/>
    <externalReference r:id="rId35"/>
    <externalReference r:id="rId36"/>
    <externalReference r:id="rId37"/>
    <externalReference r:id="rId38"/>
  </externalReferences>
  <definedNames>
    <definedName name="_xlnm._FilterDatabase" localSheetId="20" hidden="1">'Business Travel'!$C$44:$F$44</definedName>
    <definedName name="_xlnm._FilterDatabase" localSheetId="21" hidden="1">'Employee Commuting'!#REF!</definedName>
    <definedName name="_xlnm._FilterDatabase" localSheetId="23" hidden="1">'Fertilizer Production'!$A$7:$D$7</definedName>
    <definedName name="_xlnm._FilterDatabase" localSheetId="15" hidden="1">Packaging!$A$47:$G$63</definedName>
    <definedName name="_xlchart.v1.0" hidden="1">Summary!$J$2:$L$74</definedName>
    <definedName name="_xlchart.v1.1" hidden="1">Summary!$N$1</definedName>
    <definedName name="_xlchart.v1.2" hidden="1">Summary!$N$2:$N$74</definedName>
    <definedName name="_xlchart.v1.3" hidden="1">Summary!$J$2:$L$74</definedName>
    <definedName name="_xlchart.v1.4" hidden="1">Summary!$M$2:$M$74</definedName>
    <definedName name="_xlchart.v1.5" hidden="1">Summary!$J$2:$L$74</definedName>
    <definedName name="_xlchart.v1.6" hidden="1">Summary!$N$2:$N$74</definedName>
    <definedName name="_xlchart.v1.7" hidden="1">Summary!$J$2:$L$74</definedName>
    <definedName name="_xlchart.v1.8" hidden="1">Summary!$M$1</definedName>
    <definedName name="_xlchart.v1.9" hidden="1">Summary!$M$2:$M$74</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ro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5">'Audit Summary Form'!$B$1:$H$98</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H4GWP" localSheetId="5">#REF!</definedName>
    <definedName name="CH4GWP" localSheetId="12">'[1]Emission Factors'!#REF!</definedName>
    <definedName name="CH4GWP" localSheetId="28">#REF!</definedName>
    <definedName name="CH4GWP" localSheetId="23">#REF!</definedName>
    <definedName name="CH4GWP" localSheetId="11">#REF!</definedName>
    <definedName name="CH4GWP" localSheetId="4">#REF!</definedName>
    <definedName name="CH4GWP" localSheetId="0">#REF!</definedName>
    <definedName name="CH4GWP" localSheetId="13">#REF!</definedName>
    <definedName name="CH4GWP" localSheetId="19">#REF!</definedName>
    <definedName name="CH4GWP" localSheetId="22">#REF!</definedName>
    <definedName name="CH4GWP" localSheetId="24">#REF!</definedName>
    <definedName name="CH4GWP">#REF!</definedName>
    <definedName name="Country" localSheetId="5">#REF!</definedName>
    <definedName name="Country" localSheetId="12">'[1]Emission Factors'!#REF!</definedName>
    <definedName name="Country" localSheetId="28">#REF!</definedName>
    <definedName name="Country" localSheetId="23">#REF!</definedName>
    <definedName name="Country" localSheetId="11">#REF!</definedName>
    <definedName name="Country" localSheetId="4">#REF!</definedName>
    <definedName name="Country" localSheetId="0">#REF!</definedName>
    <definedName name="Country" localSheetId="13">#REF!</definedName>
    <definedName name="Country" localSheetId="19">#REF!</definedName>
    <definedName name="Country" localSheetId="22">#REF!</definedName>
    <definedName name="Country" localSheetId="24">#REF!</definedName>
    <definedName name="Country">#REF!</definedName>
    <definedName name="Def_Pet_N2O" localSheetId="5">'[2]Fuel 2020'!$G$47</definedName>
    <definedName name="Def_Pet_N2O" localSheetId="4">'[2]Fuel 2020'!$G$47</definedName>
    <definedName name="Def_Pet_N2O" localSheetId="0">'[2]Fuel 2020'!$G$47</definedName>
    <definedName name="Def_Pet_N2O">'[3]Fuel 2020'!$G$47</definedName>
    <definedName name="Diesel_CH4N2O" localSheetId="5">#REF!</definedName>
    <definedName name="Diesel_CH4N2O" localSheetId="28">#REF!</definedName>
    <definedName name="Diesel_CH4N2O" localSheetId="23">#REF!</definedName>
    <definedName name="Diesel_CH4N2O" localSheetId="11">#REF!</definedName>
    <definedName name="Diesel_CH4N2O" localSheetId="4">#REF!</definedName>
    <definedName name="Diesel_CH4N2O" localSheetId="0">#REF!</definedName>
    <definedName name="Diesel_CH4N2O" localSheetId="13">#REF!</definedName>
    <definedName name="Diesel_CH4N2O" localSheetId="19">#REF!</definedName>
    <definedName name="Diesel_CH4N2O" localSheetId="22">#REF!</definedName>
    <definedName name="Diesel_CH4N2O" localSheetId="24">#REF!</definedName>
    <definedName name="Diesel_CH4N2O">#REF!</definedName>
    <definedName name="DieselHeavyDuty_CH4" localSheetId="5">#REF!</definedName>
    <definedName name="DieselHeavyDuty_CH4" localSheetId="28">#REF!</definedName>
    <definedName name="DieselHeavyDuty_CH4" localSheetId="23">#REF!</definedName>
    <definedName name="DieselHeavyDuty_CH4" localSheetId="11">#REF!</definedName>
    <definedName name="DieselHeavyDuty_CH4" localSheetId="4">#REF!</definedName>
    <definedName name="DieselHeavyDuty_CH4" localSheetId="0">#REF!</definedName>
    <definedName name="DieselHeavyDuty_CH4" localSheetId="13">#REF!</definedName>
    <definedName name="DieselHeavyDuty_CH4" localSheetId="19">#REF!</definedName>
    <definedName name="DieselHeavyDuty_CH4" localSheetId="22">#REF!</definedName>
    <definedName name="DieselHeavyDuty_CH4" localSheetId="24">#REF!</definedName>
    <definedName name="DieselHeavyDuty_CH4">#REF!</definedName>
    <definedName name="DieselHeavyDuty_N2O" localSheetId="5">#REF!</definedName>
    <definedName name="DieselHeavyDuty_N2O" localSheetId="28">#REF!</definedName>
    <definedName name="DieselHeavyDuty_N2O" localSheetId="23">#REF!</definedName>
    <definedName name="DieselHeavyDuty_N2O" localSheetId="11">#REF!</definedName>
    <definedName name="DieselHeavyDuty_N2O" localSheetId="4">#REF!</definedName>
    <definedName name="DieselHeavyDuty_N2O" localSheetId="0">#REF!</definedName>
    <definedName name="DieselHeavyDuty_N2O" localSheetId="13">#REF!</definedName>
    <definedName name="DieselHeavyDuty_N2O" localSheetId="19">#REF!</definedName>
    <definedName name="DieselHeavyDuty_N2O" localSheetId="22">#REF!</definedName>
    <definedName name="DieselHeavyDuty_N2O" localSheetId="24">#REF!</definedName>
    <definedName name="DieselHeavyDuty_N2O">#REF!</definedName>
    <definedName name="DieselLtDuty_CH4" localSheetId="5">#REF!</definedName>
    <definedName name="DieselLtDuty_CH4" localSheetId="28">#REF!</definedName>
    <definedName name="DieselLtDuty_CH4" localSheetId="23">#REF!</definedName>
    <definedName name="DieselLtDuty_CH4" localSheetId="11">#REF!</definedName>
    <definedName name="DieselLtDuty_CH4" localSheetId="4">#REF!</definedName>
    <definedName name="DieselLtDuty_CH4" localSheetId="0">#REF!</definedName>
    <definedName name="DieselLtDuty_CH4" localSheetId="13">#REF!</definedName>
    <definedName name="DieselLtDuty_CH4" localSheetId="19">#REF!</definedName>
    <definedName name="DieselLtDuty_CH4" localSheetId="22">#REF!</definedName>
    <definedName name="DieselLtDuty_CH4" localSheetId="24">#REF!</definedName>
    <definedName name="DieselLtDuty_CH4">#REF!</definedName>
    <definedName name="DieselLtDuty_N2O" localSheetId="5">#REF!</definedName>
    <definedName name="DieselLtDuty_N2O" localSheetId="28">#REF!</definedName>
    <definedName name="DieselLtDuty_N2O" localSheetId="23">#REF!</definedName>
    <definedName name="DieselLtDuty_N2O" localSheetId="11">#REF!</definedName>
    <definedName name="DieselLtDuty_N2O" localSheetId="4">#REF!</definedName>
    <definedName name="DieselLtDuty_N2O" localSheetId="0">#REF!</definedName>
    <definedName name="DieselLtDuty_N2O" localSheetId="13">#REF!</definedName>
    <definedName name="DieselLtDuty_N2O" localSheetId="19">#REF!</definedName>
    <definedName name="DieselLtDuty_N2O" localSheetId="22">#REF!</definedName>
    <definedName name="DieselLtDuty_N2O" localSheetId="24">#REF!</definedName>
    <definedName name="DieselLtDuty_N2O">#REF!</definedName>
    <definedName name="DieselPassCar_CH4" localSheetId="5">#REF!</definedName>
    <definedName name="DieselPassCar_CH4" localSheetId="28">#REF!</definedName>
    <definedName name="DieselPassCar_CH4" localSheetId="23">#REF!</definedName>
    <definedName name="DieselPassCar_CH4" localSheetId="11">#REF!</definedName>
    <definedName name="DieselPassCar_CH4" localSheetId="4">#REF!</definedName>
    <definedName name="DieselPassCar_CH4" localSheetId="0">#REF!</definedName>
    <definedName name="DieselPassCar_CH4" localSheetId="13">#REF!</definedName>
    <definedName name="DieselPassCar_CH4" localSheetId="19">#REF!</definedName>
    <definedName name="DieselPassCar_CH4" localSheetId="22">#REF!</definedName>
    <definedName name="DieselPassCar_CH4" localSheetId="24">#REF!</definedName>
    <definedName name="DieselPassCar_CH4">#REF!</definedName>
    <definedName name="DieselPassCar_N2O" localSheetId="5">#REF!</definedName>
    <definedName name="DieselPassCar_N2O" localSheetId="28">#REF!</definedName>
    <definedName name="DieselPassCar_N2O" localSheetId="23">#REF!</definedName>
    <definedName name="DieselPassCar_N2O" localSheetId="11">#REF!</definedName>
    <definedName name="DieselPassCar_N2O" localSheetId="4">#REF!</definedName>
    <definedName name="DieselPassCar_N2O" localSheetId="0">#REF!</definedName>
    <definedName name="DieselPassCar_N2O" localSheetId="13">#REF!</definedName>
    <definedName name="DieselPassCar_N2O" localSheetId="19">#REF!</definedName>
    <definedName name="DieselPassCar_N2O" localSheetId="22">#REF!</definedName>
    <definedName name="DieselPassCar_N2O" localSheetId="24">#REF!</definedName>
    <definedName name="DieselPassCar_N2O">#REF!</definedName>
    <definedName name="Dir_Line_Supply_Type" localSheetId="5">#REF!</definedName>
    <definedName name="Dir_Line_Supply_Type" localSheetId="12">'[1]Emission Factors'!#REF!</definedName>
    <definedName name="Dir_Line_Supply_Type" localSheetId="28">#REF!</definedName>
    <definedName name="Dir_Line_Supply_Type" localSheetId="23">#REF!</definedName>
    <definedName name="Dir_Line_Supply_Type" localSheetId="11">#REF!</definedName>
    <definedName name="Dir_Line_Supply_Type" localSheetId="4">#REF!</definedName>
    <definedName name="Dir_Line_Supply_Type" localSheetId="0">#REF!</definedName>
    <definedName name="Dir_Line_Supply_Type" localSheetId="13">#REF!</definedName>
    <definedName name="Dir_Line_Supply_Type" localSheetId="19">#REF!</definedName>
    <definedName name="Dir_Line_Supply_Type" localSheetId="22">#REF!</definedName>
    <definedName name="Dir_Line_Supply_Type" localSheetId="24">#REF!</definedName>
    <definedName name="Dir_Line_Supply_Type">#REF!</definedName>
    <definedName name="eGRID" localSheetId="5">#REF!</definedName>
    <definedName name="eGRID" localSheetId="12">'[1]Emission Factors'!#REF!</definedName>
    <definedName name="eGRID" localSheetId="28">#REF!</definedName>
    <definedName name="eGRID" localSheetId="23">#REF!</definedName>
    <definedName name="eGRID" localSheetId="11">#REF!</definedName>
    <definedName name="eGRID" localSheetId="4">#REF!</definedName>
    <definedName name="eGRID" localSheetId="0">#REF!</definedName>
    <definedName name="eGRID" localSheetId="13">#REF!</definedName>
    <definedName name="eGRID" localSheetId="19">#REF!</definedName>
    <definedName name="eGRID" localSheetId="22">#REF!</definedName>
    <definedName name="eGRID" localSheetId="24">#REF!</definedName>
    <definedName name="eGRID">#REF!</definedName>
    <definedName name="eGRID_subregions" localSheetId="5">#REF!</definedName>
    <definedName name="eGRID_subregions" localSheetId="28">#REF!</definedName>
    <definedName name="eGRID_subregions" localSheetId="23">#REF!</definedName>
    <definedName name="eGRID_subregions" localSheetId="11">#REF!</definedName>
    <definedName name="eGRID_subregions" localSheetId="4">#REF!</definedName>
    <definedName name="eGRID_subregions" localSheetId="0">#REF!</definedName>
    <definedName name="eGRID_subregions" localSheetId="13">#REF!</definedName>
    <definedName name="eGRID_subregions" localSheetId="19">#REF!</definedName>
    <definedName name="eGRID_subregions" localSheetId="22">#REF!</definedName>
    <definedName name="eGRID_subregions" localSheetId="24">#REF!</definedName>
    <definedName name="eGRID_subregions">#REF!</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ity_2020_N2O" localSheetId="5">'[2]Purchased energy 2020'!$G$10</definedName>
    <definedName name="electricity_2020_N2O" localSheetId="4">'[2]Purchased energy 2020'!$G$10</definedName>
    <definedName name="electricity_2020_N2O" localSheetId="0">'[2]Purchased energy 2020'!$G$10</definedName>
    <definedName name="electricity_2020_N2O">'[3]Purchased energy 2020'!$G$10</definedName>
    <definedName name="EnerAttrCert_Name" localSheetId="5">#REF!</definedName>
    <definedName name="EnerAttrCert_Name" localSheetId="12">'[1]Emission Factors'!#REF!</definedName>
    <definedName name="EnerAttrCert_Name" localSheetId="28">#REF!</definedName>
    <definedName name="EnerAttrCert_Name" localSheetId="23">#REF!</definedName>
    <definedName name="EnerAttrCert_Name" localSheetId="11">#REF!</definedName>
    <definedName name="EnerAttrCert_Name" localSheetId="4">#REF!</definedName>
    <definedName name="EnerAttrCert_Name" localSheetId="0">#REF!</definedName>
    <definedName name="EnerAttrCert_Name" localSheetId="13">#REF!</definedName>
    <definedName name="EnerAttrCert_Name" localSheetId="19">#REF!</definedName>
    <definedName name="EnerAttrCert_Name" localSheetId="22">#REF!</definedName>
    <definedName name="EnerAttrCert_Name" localSheetId="24">#REF!</definedName>
    <definedName name="EnerAttrCert_Name">#REF!</definedName>
    <definedName name="GJperkWh" localSheetId="5">#REF!</definedName>
    <definedName name="GJperkWh" localSheetId="12">'[1]Emission Factors'!#REF!</definedName>
    <definedName name="GJperkWh" localSheetId="28">#REF!</definedName>
    <definedName name="GJperkWh" localSheetId="23">#REF!</definedName>
    <definedName name="GJperkWh" localSheetId="11">#REF!</definedName>
    <definedName name="GJperkWh" localSheetId="4">#REF!</definedName>
    <definedName name="GJperkWh" localSheetId="0">#REF!</definedName>
    <definedName name="GJperkWh" localSheetId="13">#REF!</definedName>
    <definedName name="GJperkWh" localSheetId="19">#REF!</definedName>
    <definedName name="GJperkWh" localSheetId="22">#REF!</definedName>
    <definedName name="GJperkWh" localSheetId="24">#REF!</definedName>
    <definedName name="GJperkWh">#REF!</definedName>
    <definedName name="LBPERKG" localSheetId="5">#REF!</definedName>
    <definedName name="LBPERKG" localSheetId="12">'[1]Emission Factors'!#REF!</definedName>
    <definedName name="LBPERKG" localSheetId="28">#REF!</definedName>
    <definedName name="LBPERKG" localSheetId="23">#REF!</definedName>
    <definedName name="LBPERKG" localSheetId="11">#REF!</definedName>
    <definedName name="LBPERKG" localSheetId="4">#REF!</definedName>
    <definedName name="LBPERKG" localSheetId="0">#REF!</definedName>
    <definedName name="LBPERKG" localSheetId="13">#REF!</definedName>
    <definedName name="LBPERKG" localSheetId="19">#REF!</definedName>
    <definedName name="LBPERKG" localSheetId="22">#REF!</definedName>
    <definedName name="LBPERKG" localSheetId="24">#REF!</definedName>
    <definedName name="LBPERKG">#REF!</definedName>
    <definedName name="LBPERTON" localSheetId="5">#REF!</definedName>
    <definedName name="LBPERTON" localSheetId="12">'[1]Emission Factors'!#REF!</definedName>
    <definedName name="LBPERTON" localSheetId="28">#REF!</definedName>
    <definedName name="LBPERTON" localSheetId="23">#REF!</definedName>
    <definedName name="LBPERTON" localSheetId="11">#REF!</definedName>
    <definedName name="LBPERTON" localSheetId="4">#REF!</definedName>
    <definedName name="LBPERTON" localSheetId="0">#REF!</definedName>
    <definedName name="LBPERTON" localSheetId="13">#REF!</definedName>
    <definedName name="LBPERTON" localSheetId="19">#REF!</definedName>
    <definedName name="LBPERTON" localSheetId="22">#REF!</definedName>
    <definedName name="LBPERTON" localSheetId="24">#REF!</definedName>
    <definedName name="LBPERTON">#REF!</definedName>
    <definedName name="metrictonPERshortTon" localSheetId="5">#REF!</definedName>
    <definedName name="metrictonPERshortTon" localSheetId="12">'[1]Emission Factors'!#REF!</definedName>
    <definedName name="metrictonPERshortTon" localSheetId="28">#REF!</definedName>
    <definedName name="metrictonPERshortTon" localSheetId="23">#REF!</definedName>
    <definedName name="metrictonPERshortTon" localSheetId="11">#REF!</definedName>
    <definedName name="metrictonPERshortTon" localSheetId="4">#REF!</definedName>
    <definedName name="metrictonPERshortTon" localSheetId="0">#REF!</definedName>
    <definedName name="metrictonPERshortTon" localSheetId="13">#REF!</definedName>
    <definedName name="metrictonPERshortTon" localSheetId="19">#REF!</definedName>
    <definedName name="metrictonPERshortTon" localSheetId="22">#REF!</definedName>
    <definedName name="metrictonPERshortTon" localSheetId="24">#REF!</definedName>
    <definedName name="metrictonPERshortTon">#REF!</definedName>
    <definedName name="miles" localSheetId="12">'[4]State Distance'!$A$1:$B$52</definedName>
    <definedName name="miles" localSheetId="28">'[5]State Distance'!$A$1:$B$52</definedName>
    <definedName name="miles">'[5]State Distance'!$A$1:$B$52</definedName>
    <definedName name="Mobile_CH4N2O" localSheetId="5">#REF!</definedName>
    <definedName name="Mobile_CH4N2O" localSheetId="28">#REF!</definedName>
    <definedName name="Mobile_CH4N2O" localSheetId="23">#REF!</definedName>
    <definedName name="Mobile_CH4N2O" localSheetId="11">#REF!</definedName>
    <definedName name="Mobile_CH4N2O" localSheetId="4">#REF!</definedName>
    <definedName name="Mobile_CH4N2O" localSheetId="0">#REF!</definedName>
    <definedName name="Mobile_CH4N2O" localSheetId="13">#REF!</definedName>
    <definedName name="Mobile_CH4N2O" localSheetId="19">#REF!</definedName>
    <definedName name="Mobile_CH4N2O" localSheetId="22">#REF!</definedName>
    <definedName name="Mobile_CH4N2O" localSheetId="24">#REF!</definedName>
    <definedName name="Mobile_CH4N2O">#REF!</definedName>
    <definedName name="mtpershortton">0.907185</definedName>
    <definedName name="N2OGWP" localSheetId="5">#REF!</definedName>
    <definedName name="N2OGWP" localSheetId="12">'[1]Emission Factors'!#REF!</definedName>
    <definedName name="N2OGWP" localSheetId="28">#REF!</definedName>
    <definedName name="N2OGWP" localSheetId="23">#REF!</definedName>
    <definedName name="N2OGWP" localSheetId="11">#REF!</definedName>
    <definedName name="N2OGWP" localSheetId="4">#REF!</definedName>
    <definedName name="N2OGWP" localSheetId="0">#REF!</definedName>
    <definedName name="N2OGWP" localSheetId="13">#REF!</definedName>
    <definedName name="N2OGWP" localSheetId="19">#REF!</definedName>
    <definedName name="N2OGWP" localSheetId="22">#REF!</definedName>
    <definedName name="N2OGWP" localSheetId="24">#REF!</definedName>
    <definedName name="N2OGWP">#REF!</definedName>
    <definedName name="OLE_LINK3" localSheetId="6">'Emission Factors'!$D$1147</definedName>
    <definedName name="OLE_LINK3" localSheetId="30">'Emission Factors (2)'!$D$1135</definedName>
    <definedName name="shortTonPERlb" localSheetId="5">#REF!</definedName>
    <definedName name="shortTonPERlb" localSheetId="12">'[1]Emission Factors'!#REF!</definedName>
    <definedName name="shortTonPERlb" localSheetId="28">#REF!</definedName>
    <definedName name="shortTonPERlb" localSheetId="23">#REF!</definedName>
    <definedName name="shortTonPERlb" localSheetId="11">#REF!</definedName>
    <definedName name="shortTonPERlb" localSheetId="4">#REF!</definedName>
    <definedName name="shortTonPERlb" localSheetId="0">#REF!</definedName>
    <definedName name="shortTonPERlb" localSheetId="13">#REF!</definedName>
    <definedName name="shortTonPERlb" localSheetId="19">#REF!</definedName>
    <definedName name="shortTonPERlb" localSheetId="22">#REF!</definedName>
    <definedName name="shortTonPERlb" localSheetId="24">#REF!</definedName>
    <definedName name="shortTonPERlb">#REF!</definedName>
    <definedName name="shorttonPERmetricton">1.1025</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UpdateYear" localSheetId="12">[6]Introduction!$E$6</definedName>
    <definedName name="UpdateYear" localSheetId="28">[7]Introduction!$E$6</definedName>
    <definedName name="UpdateYear">[7]Introduction!$E$6</definedName>
    <definedName name="VehicleMatch" localSheetId="5">#REF!</definedName>
    <definedName name="VehicleMatch" localSheetId="28">#REF!</definedName>
    <definedName name="VehicleMatch" localSheetId="23">#REF!</definedName>
    <definedName name="VehicleMatch" localSheetId="11">#REF!</definedName>
    <definedName name="VehicleMatch" localSheetId="4">#REF!</definedName>
    <definedName name="VehicleMatch" localSheetId="0">#REF!</definedName>
    <definedName name="VehicleMatch" localSheetId="13">#REF!</definedName>
    <definedName name="VehicleMatch" localSheetId="19">#REF!</definedName>
    <definedName name="VehicleMatch" localSheetId="22">#REF!</definedName>
    <definedName name="VehicleMatch" localSheetId="24">#REF!</definedName>
    <definedName name="VehicleMatch">#REF!</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2" i="10" l="1"/>
  <c r="F112" i="10"/>
  <c r="E113" i="10"/>
  <c r="F113" i="10"/>
  <c r="E114" i="10"/>
  <c r="F114" i="10"/>
  <c r="E115" i="10"/>
  <c r="F115" i="10"/>
  <c r="E116" i="10"/>
  <c r="F116" i="10"/>
  <c r="E117" i="10"/>
  <c r="F117" i="10"/>
  <c r="E118" i="10"/>
  <c r="F118" i="10"/>
  <c r="E119" i="10"/>
  <c r="F119" i="10"/>
  <c r="E120" i="10"/>
  <c r="F120" i="10"/>
  <c r="F111" i="10"/>
  <c r="E111" i="10"/>
  <c r="D112" i="10"/>
  <c r="D113" i="10"/>
  <c r="D114" i="10"/>
  <c r="D115" i="10"/>
  <c r="D116" i="10"/>
  <c r="D117" i="10"/>
  <c r="D118" i="10"/>
  <c r="D119" i="10"/>
  <c r="D120" i="10"/>
  <c r="D111" i="10"/>
  <c r="E306" i="11"/>
  <c r="F306" i="11"/>
  <c r="D331" i="11"/>
  <c r="B5" i="8" l="1"/>
  <c r="E13" i="8"/>
  <c r="E14" i="8"/>
  <c r="E15" i="8"/>
  <c r="E16" i="8"/>
  <c r="E17" i="8"/>
  <c r="E18" i="8"/>
  <c r="E19" i="8"/>
  <c r="E20" i="8"/>
  <c r="E21" i="8"/>
  <c r="E22" i="8"/>
  <c r="E23" i="8"/>
  <c r="E24" i="8"/>
  <c r="E25" i="8"/>
  <c r="E26" i="8"/>
  <c r="E27" i="8"/>
  <c r="E12" i="8"/>
  <c r="E16" i="9"/>
  <c r="E17" i="9"/>
  <c r="E18" i="9"/>
  <c r="E19" i="9"/>
  <c r="E20" i="9"/>
  <c r="E21" i="9"/>
  <c r="E22" i="9"/>
  <c r="E23" i="9"/>
  <c r="E24" i="9"/>
  <c r="E25" i="9"/>
  <c r="E26" i="9"/>
  <c r="E27" i="9"/>
  <c r="E28" i="9"/>
  <c r="E29" i="9"/>
  <c r="E30" i="9"/>
  <c r="E31" i="9"/>
  <c r="D31" i="48"/>
  <c r="D32" i="48"/>
  <c r="D33" i="48"/>
  <c r="D34" i="48"/>
  <c r="D35" i="48"/>
  <c r="D36" i="48"/>
  <c r="D30" i="48"/>
  <c r="D17" i="48"/>
  <c r="D18" i="48"/>
  <c r="D19" i="48"/>
  <c r="D20" i="48"/>
  <c r="D21" i="48"/>
  <c r="D22" i="48"/>
  <c r="D23" i="48"/>
  <c r="D24" i="48"/>
  <c r="D25" i="48"/>
  <c r="D26" i="48"/>
  <c r="D27" i="48"/>
  <c r="D28" i="48"/>
  <c r="D29" i="48"/>
  <c r="D39" i="48"/>
  <c r="D40" i="48"/>
  <c r="D41" i="48"/>
  <c r="D42" i="48"/>
  <c r="D43" i="48"/>
  <c r="D44" i="48"/>
  <c r="D45" i="48"/>
  <c r="D46" i="48"/>
  <c r="D47" i="48"/>
  <c r="D48" i="48"/>
  <c r="D49" i="48"/>
  <c r="D50" i="48"/>
  <c r="D51" i="48"/>
  <c r="D52" i="48"/>
  <c r="D55" i="48"/>
  <c r="D56" i="48"/>
  <c r="D57" i="48"/>
  <c r="D58" i="48"/>
  <c r="D59" i="48"/>
  <c r="D60" i="48"/>
  <c r="D13" i="13"/>
  <c r="E243" i="44"/>
  <c r="E226" i="44"/>
  <c r="E234" i="44"/>
  <c r="E233" i="44"/>
  <c r="E232" i="44"/>
  <c r="D61" i="48" s="1"/>
  <c r="E231" i="44"/>
  <c r="E230" i="44"/>
  <c r="E229" i="44"/>
  <c r="E237" i="44"/>
  <c r="E228" i="44"/>
  <c r="E227" i="44"/>
  <c r="E225" i="44"/>
  <c r="D62" i="48" s="1"/>
  <c r="R45" i="9"/>
  <c r="R46" i="9"/>
  <c r="R47" i="9"/>
  <c r="R53" i="9"/>
  <c r="R54" i="9"/>
  <c r="R55" i="9"/>
  <c r="R61" i="9"/>
  <c r="R62" i="9"/>
  <c r="R63" i="9"/>
  <c r="R69" i="9"/>
  <c r="R70" i="9"/>
  <c r="R71" i="9"/>
  <c r="Q75" i="9"/>
  <c r="R75" i="9" s="1"/>
  <c r="Q74" i="9"/>
  <c r="R74" i="9" s="1"/>
  <c r="Q73" i="9"/>
  <c r="R73" i="9" s="1"/>
  <c r="Q72" i="9"/>
  <c r="R72" i="9" s="1"/>
  <c r="Q71" i="9"/>
  <c r="Q70" i="9"/>
  <c r="Q69" i="9"/>
  <c r="Q68" i="9"/>
  <c r="R68" i="9" s="1"/>
  <c r="Q67" i="9"/>
  <c r="R67" i="9" s="1"/>
  <c r="Q66" i="9"/>
  <c r="R66" i="9" s="1"/>
  <c r="Q65" i="9"/>
  <c r="R65" i="9" s="1"/>
  <c r="Q64" i="9"/>
  <c r="R64" i="9" s="1"/>
  <c r="Q63" i="9"/>
  <c r="Q62" i="9"/>
  <c r="Q61" i="9"/>
  <c r="Q60" i="9"/>
  <c r="R60" i="9" s="1"/>
  <c r="Q59" i="9"/>
  <c r="R59" i="9" s="1"/>
  <c r="Q58" i="9"/>
  <c r="R58" i="9" s="1"/>
  <c r="Q57" i="9"/>
  <c r="R57" i="9" s="1"/>
  <c r="Q56" i="9"/>
  <c r="R56" i="9" s="1"/>
  <c r="Q55" i="9"/>
  <c r="Q54" i="9"/>
  <c r="Q53" i="9"/>
  <c r="Q52" i="9"/>
  <c r="R52" i="9" s="1"/>
  <c r="Q51" i="9"/>
  <c r="R51" i="9" s="1"/>
  <c r="Q50" i="9"/>
  <c r="R50" i="9" s="1"/>
  <c r="Q49" i="9"/>
  <c r="R49" i="9" s="1"/>
  <c r="Q48" i="9"/>
  <c r="R48" i="9" s="1"/>
  <c r="Q47" i="9"/>
  <c r="Q46" i="9"/>
  <c r="Q45" i="9"/>
  <c r="Q44" i="9"/>
  <c r="R44" i="9" s="1"/>
  <c r="Q43" i="9"/>
  <c r="R43" i="9" s="1"/>
  <c r="Q42" i="9"/>
  <c r="R42" i="9" s="1"/>
  <c r="Q41" i="9"/>
  <c r="R41" i="9" s="1"/>
  <c r="Q40" i="9"/>
  <c r="R40" i="9" s="1"/>
  <c r="D48" i="6"/>
  <c r="E48" i="6" s="1"/>
  <c r="C92" i="6"/>
  <c r="C91" i="6"/>
  <c r="C90" i="6"/>
  <c r="C89" i="6"/>
  <c r="C88" i="6"/>
  <c r="C87" i="6"/>
  <c r="C86" i="6"/>
  <c r="C85" i="6"/>
  <c r="C84" i="6"/>
  <c r="C83" i="6"/>
  <c r="C82" i="6"/>
  <c r="C81" i="6"/>
  <c r="C80" i="6"/>
  <c r="C79" i="6"/>
  <c r="C78" i="6"/>
  <c r="G66" i="6"/>
  <c r="G65" i="6"/>
  <c r="G64" i="6"/>
  <c r="G63" i="6"/>
  <c r="G62" i="6"/>
  <c r="D58" i="6"/>
  <c r="D57" i="6"/>
  <c r="D56" i="6"/>
  <c r="D55" i="6"/>
  <c r="D54" i="6"/>
  <c r="D53" i="6"/>
  <c r="D52" i="6"/>
  <c r="D51" i="6"/>
  <c r="D50" i="6"/>
  <c r="D49" i="6"/>
  <c r="R76" i="9" l="1"/>
  <c r="B63" i="2" l="1"/>
  <c r="C679" i="44"/>
  <c r="B679" i="44"/>
  <c r="C678" i="44"/>
  <c r="C677" i="44"/>
  <c r="B678" i="44"/>
  <c r="B677" i="44"/>
  <c r="E49" i="10" l="1"/>
  <c r="D48" i="10"/>
  <c r="G48" i="10" s="1"/>
  <c r="D49" i="10"/>
  <c r="G49" i="10" s="1"/>
  <c r="B65" i="11"/>
  <c r="D28" i="11"/>
  <c r="B28" i="55"/>
  <c r="B15" i="55"/>
  <c r="E48" i="10" l="1"/>
  <c r="F49" i="10"/>
  <c r="H49" i="10" s="1"/>
  <c r="F48" i="10"/>
  <c r="H48" i="10" s="1"/>
  <c r="H803" i="11"/>
  <c r="H802" i="11"/>
  <c r="E267" i="11" l="1"/>
  <c r="E329" i="44"/>
  <c r="E328" i="44"/>
  <c r="E327" i="44"/>
  <c r="E324" i="44"/>
  <c r="E325" i="44"/>
  <c r="E326" i="44"/>
  <c r="D95" i="10" l="1"/>
  <c r="F1005" i="44"/>
  <c r="E33" i="46"/>
  <c r="F33" i="46" s="1"/>
  <c r="D81" i="10"/>
  <c r="F78" i="11" l="1"/>
  <c r="F77" i="11"/>
  <c r="F76" i="11"/>
  <c r="F75" i="11"/>
  <c r="F74" i="11"/>
  <c r="G70" i="60"/>
  <c r="H29" i="6" l="1"/>
  <c r="H30" i="6"/>
  <c r="H31" i="6"/>
  <c r="H32" i="6"/>
  <c r="H33" i="6"/>
  <c r="H34" i="6"/>
  <c r="H35" i="6"/>
  <c r="H36" i="6"/>
  <c r="H37" i="6"/>
  <c r="H38" i="6"/>
  <c r="H40" i="6"/>
  <c r="H41" i="6"/>
  <c r="C327" i="44"/>
  <c r="C328" i="44"/>
  <c r="C329" i="44"/>
  <c r="F697" i="44" l="1"/>
  <c r="F698" i="44"/>
  <c r="F699" i="44"/>
  <c r="F700" i="44"/>
  <c r="F701" i="44"/>
  <c r="F702" i="44"/>
  <c r="F703" i="44"/>
  <c r="F704" i="44"/>
  <c r="F705" i="44"/>
  <c r="F706" i="44"/>
  <c r="F707" i="44"/>
  <c r="F708" i="44"/>
  <c r="F709" i="44"/>
  <c r="F710" i="44"/>
  <c r="F711" i="44"/>
  <c r="F712" i="44"/>
  <c r="F713" i="44"/>
  <c r="F714" i="44"/>
  <c r="F715" i="44"/>
  <c r="F716" i="44"/>
  <c r="F717" i="44"/>
  <c r="F696" i="44"/>
  <c r="Q35" i="8" l="1"/>
  <c r="R35" i="8" s="1"/>
  <c r="Q36" i="8"/>
  <c r="R36" i="8" s="1"/>
  <c r="Q37" i="8"/>
  <c r="R37" i="8" s="1"/>
  <c r="Q38" i="8"/>
  <c r="R38" i="8"/>
  <c r="Q39" i="8"/>
  <c r="R39" i="8" s="1"/>
  <c r="Q40" i="8"/>
  <c r="R40" i="8" s="1"/>
  <c r="Q41" i="8"/>
  <c r="R41" i="8" s="1"/>
  <c r="Q42" i="8"/>
  <c r="R42" i="8"/>
  <c r="Q43" i="8"/>
  <c r="R43" i="8" s="1"/>
  <c r="Q44" i="8"/>
  <c r="R44" i="8" s="1"/>
  <c r="Q45" i="8"/>
  <c r="R45" i="8" s="1"/>
  <c r="Q46" i="8"/>
  <c r="R46" i="8"/>
  <c r="Q47" i="8"/>
  <c r="R47" i="8" s="1"/>
  <c r="Q48" i="8"/>
  <c r="R48" i="8" s="1"/>
  <c r="Q49" i="8"/>
  <c r="R49" i="8" s="1"/>
  <c r="Q50" i="8"/>
  <c r="R50" i="8"/>
  <c r="Q51" i="8"/>
  <c r="R51" i="8" s="1"/>
  <c r="Q52" i="8"/>
  <c r="R52" i="8" s="1"/>
  <c r="Q53" i="8"/>
  <c r="R53" i="8" s="1"/>
  <c r="Q54" i="8"/>
  <c r="R54" i="8" s="1"/>
  <c r="Q55" i="8"/>
  <c r="R55" i="8" s="1"/>
  <c r="Q56" i="8"/>
  <c r="R56" i="8" s="1"/>
  <c r="Q57" i="8"/>
  <c r="R57" i="8" s="1"/>
  <c r="Q58" i="8"/>
  <c r="R58" i="8"/>
  <c r="Q59" i="8"/>
  <c r="R59" i="8" s="1"/>
  <c r="Q60" i="8"/>
  <c r="R60" i="8" s="1"/>
  <c r="Q61" i="8"/>
  <c r="R61" i="8" s="1"/>
  <c r="Q62" i="8"/>
  <c r="R62" i="8" s="1"/>
  <c r="Q63" i="8"/>
  <c r="R63" i="8" s="1"/>
  <c r="Q64" i="8"/>
  <c r="R64" i="8" s="1"/>
  <c r="Q65" i="8"/>
  <c r="R65" i="8" s="1"/>
  <c r="Q66" i="8"/>
  <c r="R66" i="8"/>
  <c r="Q67" i="8"/>
  <c r="R67" i="8" s="1"/>
  <c r="Q68" i="8"/>
  <c r="R68" i="8" s="1"/>
  <c r="Q69" i="8"/>
  <c r="R69" i="8" s="1"/>
  <c r="Q70" i="8"/>
  <c r="R70" i="8"/>
  <c r="D306" i="11"/>
  <c r="D307" i="11"/>
  <c r="E307" i="11" s="1"/>
  <c r="F307" i="11" s="1"/>
  <c r="D308" i="11"/>
  <c r="E308" i="11" s="1"/>
  <c r="F308" i="11" s="1"/>
  <c r="D309" i="11"/>
  <c r="E309" i="11" s="1"/>
  <c r="F309" i="11" s="1"/>
  <c r="D310" i="11"/>
  <c r="E310" i="11" s="1"/>
  <c r="F310" i="11" s="1"/>
  <c r="D311" i="11"/>
  <c r="E311" i="11" s="1"/>
  <c r="F311" i="11" s="1"/>
  <c r="D312" i="11"/>
  <c r="E312" i="11" s="1"/>
  <c r="F312" i="11" s="1"/>
  <c r="D313" i="11"/>
  <c r="E313" i="11" s="1"/>
  <c r="F313" i="11" s="1"/>
  <c r="D314" i="11"/>
  <c r="E314" i="11" s="1"/>
  <c r="F314" i="11" s="1"/>
  <c r="D315" i="11"/>
  <c r="E315" i="11" s="1"/>
  <c r="F315" i="11" s="1"/>
  <c r="D316" i="11"/>
  <c r="E316" i="11" s="1"/>
  <c r="F316" i="11" s="1"/>
  <c r="D317" i="11"/>
  <c r="E317" i="11" s="1"/>
  <c r="F317" i="11" s="1"/>
  <c r="D318" i="11"/>
  <c r="E318" i="11" s="1"/>
  <c r="F318" i="11" s="1"/>
  <c r="D319" i="11"/>
  <c r="E319" i="11" s="1"/>
  <c r="F319" i="11" s="1"/>
  <c r="D320" i="11"/>
  <c r="E320" i="11" s="1"/>
  <c r="F320" i="11" s="1"/>
  <c r="D321" i="11"/>
  <c r="E321" i="11" s="1"/>
  <c r="F321" i="11" s="1"/>
  <c r="D322" i="11"/>
  <c r="E322" i="11" s="1"/>
  <c r="C37" i="6"/>
  <c r="D37" i="6" s="1"/>
  <c r="C38" i="6"/>
  <c r="D38" i="6" s="1"/>
  <c r="C39" i="6"/>
  <c r="D39" i="6" s="1"/>
  <c r="C40" i="6"/>
  <c r="D40" i="6" s="1"/>
  <c r="H39" i="6"/>
  <c r="H28" i="6"/>
  <c r="H27" i="6"/>
  <c r="H26" i="6" l="1"/>
  <c r="H42" i="6" s="1"/>
  <c r="R71" i="8"/>
  <c r="B7" i="8" s="1"/>
  <c r="F25" i="44" l="1"/>
  <c r="F26" i="44"/>
  <c r="G1005" i="44" l="1"/>
  <c r="E233" i="45"/>
  <c r="E232" i="45"/>
  <c r="E231" i="45"/>
  <c r="E230" i="45"/>
  <c r="E229" i="45"/>
  <c r="F266" i="44"/>
  <c r="F267" i="44"/>
  <c r="F268" i="44"/>
  <c r="F269" i="44"/>
  <c r="F270" i="44"/>
  <c r="F271" i="44"/>
  <c r="F265" i="44"/>
  <c r="F253" i="44"/>
  <c r="F254" i="44"/>
  <c r="F255" i="44"/>
  <c r="F256" i="44"/>
  <c r="F257" i="44"/>
  <c r="F258" i="44"/>
  <c r="F259" i="44"/>
  <c r="F260" i="44"/>
  <c r="F252" i="44"/>
  <c r="F70" i="44"/>
  <c r="F71" i="44"/>
  <c r="F72" i="44"/>
  <c r="F73" i="44"/>
  <c r="F74" i="44"/>
  <c r="F75" i="44"/>
  <c r="F76" i="44"/>
  <c r="F77" i="44"/>
  <c r="F69" i="44"/>
  <c r="F57" i="44"/>
  <c r="F58" i="44"/>
  <c r="F59" i="44"/>
  <c r="F60" i="44"/>
  <c r="F61" i="44"/>
  <c r="F62" i="44"/>
  <c r="F63" i="44"/>
  <c r="F64" i="44"/>
  <c r="F65" i="44"/>
  <c r="F66" i="44"/>
  <c r="F56" i="44"/>
  <c r="F31" i="44"/>
  <c r="F32" i="44"/>
  <c r="F33" i="44"/>
  <c r="F34" i="44"/>
  <c r="F35" i="44"/>
  <c r="F36" i="44"/>
  <c r="F30" i="44"/>
  <c r="F29" i="44"/>
  <c r="F28" i="44"/>
  <c r="F24" i="44"/>
  <c r="G75" i="44" l="1"/>
  <c r="G72" i="44"/>
  <c r="G71" i="44"/>
  <c r="G70" i="44"/>
  <c r="G67" i="44"/>
  <c r="G68" i="44"/>
  <c r="G69" i="44"/>
  <c r="G66" i="44"/>
  <c r="G64" i="44"/>
  <c r="G65" i="44"/>
  <c r="G62" i="44"/>
  <c r="G63" i="44"/>
  <c r="G61" i="44"/>
  <c r="G60" i="44"/>
  <c r="G56" i="44"/>
  <c r="C325" i="44" l="1"/>
  <c r="C326" i="44"/>
  <c r="C324" i="44"/>
  <c r="C994" i="44"/>
  <c r="C1181" i="44" l="1"/>
  <c r="F66" i="66" l="1"/>
  <c r="F59" i="66"/>
  <c r="F49" i="66"/>
  <c r="F45" i="66"/>
  <c r="F38" i="66"/>
  <c r="F37" i="66"/>
  <c r="F36" i="66"/>
  <c r="F35" i="66"/>
  <c r="F34" i="66"/>
  <c r="F33" i="66"/>
  <c r="F30" i="66"/>
  <c r="F29" i="66"/>
  <c r="F28" i="66"/>
  <c r="AE39" i="66" l="1"/>
  <c r="AE40" i="66"/>
  <c r="AE41" i="66"/>
  <c r="AE42" i="66"/>
  <c r="AE43" i="66"/>
  <c r="AE50" i="66"/>
  <c r="AE54" i="66"/>
  <c r="AE64" i="66"/>
  <c r="AE71" i="66"/>
  <c r="AE38" i="66"/>
  <c r="AE34" i="66"/>
  <c r="AE35" i="66"/>
  <c r="AE33" i="66"/>
  <c r="D1174" i="66" l="1"/>
  <c r="L1118" i="66"/>
  <c r="G1118" i="66"/>
  <c r="H1118" i="66" s="1"/>
  <c r="I1118" i="66" s="1"/>
  <c r="J1118" i="66" s="1"/>
  <c r="M1118" i="66" s="1"/>
  <c r="L1117" i="66"/>
  <c r="G1117" i="66"/>
  <c r="H1117" i="66" s="1"/>
  <c r="I1117" i="66" s="1"/>
  <c r="J1117" i="66" s="1"/>
  <c r="M1117" i="66" s="1"/>
  <c r="L1116" i="66"/>
  <c r="G1116" i="66"/>
  <c r="H1116" i="66" s="1"/>
  <c r="I1116" i="66" s="1"/>
  <c r="J1116" i="66" s="1"/>
  <c r="M1116" i="66" s="1"/>
  <c r="L1115" i="66"/>
  <c r="G1115" i="66"/>
  <c r="H1115" i="66" s="1"/>
  <c r="I1115" i="66" s="1"/>
  <c r="J1115" i="66" s="1"/>
  <c r="M1115" i="66" s="1"/>
  <c r="L1114" i="66"/>
  <c r="G1114" i="66"/>
  <c r="H1114" i="66" s="1"/>
  <c r="I1114" i="66" s="1"/>
  <c r="J1114" i="66" s="1"/>
  <c r="M1114" i="66" s="1"/>
  <c r="M1119" i="66" s="1"/>
  <c r="D1024" i="66"/>
  <c r="Z692" i="66"/>
  <c r="Z691" i="66"/>
  <c r="E681" i="66"/>
  <c r="B681" i="66"/>
  <c r="Z690" i="66"/>
  <c r="E680" i="66"/>
  <c r="B680" i="66"/>
  <c r="Z689" i="66"/>
  <c r="E679" i="66"/>
  <c r="B679" i="66"/>
  <c r="Z688" i="66"/>
  <c r="AC687" i="66"/>
  <c r="Z687" i="66"/>
  <c r="Z686" i="66"/>
  <c r="Z685" i="66"/>
  <c r="Z684" i="66"/>
  <c r="Z683" i="66"/>
  <c r="F596" i="66"/>
  <c r="E596" i="66"/>
  <c r="M543" i="66"/>
  <c r="M542" i="66"/>
  <c r="F95" i="66"/>
  <c r="F681" i="66" s="1"/>
  <c r="F94" i="66"/>
  <c r="F680" i="66" s="1"/>
  <c r="F93" i="66"/>
  <c r="F679" i="66" s="1"/>
  <c r="I695" i="44"/>
  <c r="I702" i="44"/>
  <c r="I701" i="44"/>
  <c r="I700" i="44"/>
  <c r="I699" i="44"/>
  <c r="I698" i="44"/>
  <c r="I697" i="44"/>
  <c r="I696" i="44"/>
  <c r="I694" i="44"/>
  <c r="I693" i="44"/>
  <c r="O1115" i="66" l="1"/>
  <c r="O1117" i="66"/>
  <c r="O1116" i="66"/>
  <c r="F29" i="60" l="1"/>
  <c r="L38" i="57" l="1"/>
  <c r="L39" i="57"/>
  <c r="L40" i="57"/>
  <c r="L41" i="57"/>
  <c r="L37" i="57"/>
  <c r="E22" i="46" l="1"/>
  <c r="F22" i="46" s="1"/>
  <c r="E23" i="46"/>
  <c r="F23" i="46" s="1"/>
  <c r="B61" i="3"/>
  <c r="C185" i="45" l="1"/>
  <c r="C186" i="45"/>
  <c r="C187" i="45"/>
  <c r="C188" i="45"/>
  <c r="C189" i="45"/>
  <c r="C190" i="45"/>
  <c r="C191" i="45"/>
  <c r="C192" i="45"/>
  <c r="C193" i="45"/>
  <c r="C184" i="45"/>
  <c r="E18" i="32"/>
  <c r="C56" i="2"/>
  <c r="D9" i="51"/>
  <c r="F9" i="51" s="1"/>
  <c r="D10" i="51"/>
  <c r="F10" i="51" s="1"/>
  <c r="D11" i="51"/>
  <c r="F11" i="51" s="1"/>
  <c r="D13" i="51"/>
  <c r="D14" i="51"/>
  <c r="F14" i="51" s="1"/>
  <c r="D15" i="51"/>
  <c r="F15" i="51" s="1"/>
  <c r="D16" i="51"/>
  <c r="F16" i="51" s="1"/>
  <c r="D17" i="51"/>
  <c r="F17" i="51" s="1"/>
  <c r="D18" i="51"/>
  <c r="F18" i="51" s="1"/>
  <c r="D19" i="51"/>
  <c r="F19" i="51" s="1"/>
  <c r="D20" i="51"/>
  <c r="F20" i="51" s="1"/>
  <c r="D21" i="51"/>
  <c r="F21" i="51" s="1"/>
  <c r="D22" i="51"/>
  <c r="D23" i="51"/>
  <c r="F23" i="51" s="1"/>
  <c r="D24" i="51"/>
  <c r="F24" i="51" s="1"/>
  <c r="D25" i="51"/>
  <c r="F25" i="51" s="1"/>
  <c r="D26" i="51"/>
  <c r="F26" i="51" s="1"/>
  <c r="D27" i="51"/>
  <c r="F27" i="51" s="1"/>
  <c r="D28" i="51"/>
  <c r="F28" i="51" s="1"/>
  <c r="F13" i="51"/>
  <c r="F22" i="51"/>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93" i="2"/>
  <c r="D11" i="48"/>
  <c r="L66" i="32"/>
  <c r="E94" i="2"/>
  <c r="F94" i="2" s="1"/>
  <c r="E95" i="2"/>
  <c r="F95" i="2" s="1"/>
  <c r="E96" i="2"/>
  <c r="F96" i="2" s="1"/>
  <c r="E97" i="2"/>
  <c r="E98" i="2"/>
  <c r="E99" i="2"/>
  <c r="F99" i="2" s="1"/>
  <c r="E100" i="2"/>
  <c r="E101" i="2"/>
  <c r="F101" i="2" s="1"/>
  <c r="E102" i="2"/>
  <c r="F102" i="2" s="1"/>
  <c r="E103" i="2"/>
  <c r="F103" i="2" s="1"/>
  <c r="E104" i="2"/>
  <c r="F104" i="2" s="1"/>
  <c r="E105" i="2"/>
  <c r="E106" i="2"/>
  <c r="E107" i="2"/>
  <c r="F107" i="2" s="1"/>
  <c r="E108" i="2"/>
  <c r="E109" i="2"/>
  <c r="F109" i="2" s="1"/>
  <c r="E110" i="2"/>
  <c r="F110" i="2" s="1"/>
  <c r="E111" i="2"/>
  <c r="F111" i="2" s="1"/>
  <c r="E112" i="2"/>
  <c r="F112" i="2" s="1"/>
  <c r="E113" i="2"/>
  <c r="E114" i="2"/>
  <c r="E115" i="2"/>
  <c r="F115" i="2" s="1"/>
  <c r="E116" i="2"/>
  <c r="E117" i="2"/>
  <c r="F117" i="2" s="1"/>
  <c r="E118" i="2"/>
  <c r="F118" i="2" s="1"/>
  <c r="E119" i="2"/>
  <c r="F119" i="2" s="1"/>
  <c r="E120" i="2"/>
  <c r="F120" i="2" s="1"/>
  <c r="E121" i="2"/>
  <c r="E122" i="2"/>
  <c r="E123" i="2"/>
  <c r="F123" i="2" s="1"/>
  <c r="E124" i="2"/>
  <c r="E125" i="2"/>
  <c r="F125" i="2" s="1"/>
  <c r="E126" i="2"/>
  <c r="F126" i="2" s="1"/>
  <c r="E127" i="2"/>
  <c r="F127" i="2" s="1"/>
  <c r="E128" i="2"/>
  <c r="F128" i="2" s="1"/>
  <c r="E129" i="2"/>
  <c r="E130" i="2"/>
  <c r="E131" i="2"/>
  <c r="F131" i="2" s="1"/>
  <c r="E132" i="2"/>
  <c r="E133" i="2"/>
  <c r="F133" i="2" s="1"/>
  <c r="E134" i="2"/>
  <c r="F134" i="2" s="1"/>
  <c r="E135" i="2"/>
  <c r="F135" i="2" s="1"/>
  <c r="E136" i="2"/>
  <c r="F136" i="2" s="1"/>
  <c r="E137" i="2"/>
  <c r="E138" i="2"/>
  <c r="E139" i="2"/>
  <c r="F139" i="2" s="1"/>
  <c r="E140" i="2"/>
  <c r="E141" i="2"/>
  <c r="F141" i="2" s="1"/>
  <c r="E142" i="2"/>
  <c r="F142" i="2" s="1"/>
  <c r="E143" i="2"/>
  <c r="F143" i="2" s="1"/>
  <c r="E144" i="2"/>
  <c r="F144" i="2" s="1"/>
  <c r="E145" i="2"/>
  <c r="E146" i="2"/>
  <c r="E147" i="2"/>
  <c r="F147" i="2" s="1"/>
  <c r="E148" i="2"/>
  <c r="E93" i="2"/>
  <c r="F93" i="2" s="1"/>
  <c r="F146" i="2" l="1"/>
  <c r="F138" i="2"/>
  <c r="F130" i="2"/>
  <c r="F122" i="2"/>
  <c r="F114" i="2"/>
  <c r="F106" i="2"/>
  <c r="F98" i="2"/>
  <c r="F145" i="2"/>
  <c r="F137" i="2"/>
  <c r="F129" i="2"/>
  <c r="F121" i="2"/>
  <c r="F113" i="2"/>
  <c r="F105" i="2"/>
  <c r="F97" i="2"/>
  <c r="F148" i="2"/>
  <c r="F140" i="2"/>
  <c r="F132" i="2"/>
  <c r="F124" i="2"/>
  <c r="F116" i="2"/>
  <c r="F108" i="2"/>
  <c r="F100" i="2"/>
  <c r="F149" i="2" l="1"/>
  <c r="B9" i="2" s="1"/>
  <c r="F89" i="32" s="1"/>
  <c r="M66" i="32" s="1"/>
  <c r="D198" i="11"/>
  <c r="D199" i="11"/>
  <c r="D200" i="11"/>
  <c r="D201" i="11"/>
  <c r="D202" i="11"/>
  <c r="D203" i="11"/>
  <c r="D204" i="11"/>
  <c r="D205" i="11"/>
  <c r="D206" i="11"/>
  <c r="D207" i="11"/>
  <c r="D208" i="11"/>
  <c r="D209" i="11"/>
  <c r="D210" i="11"/>
  <c r="D211" i="11"/>
  <c r="D197" i="11"/>
  <c r="D178" i="11"/>
  <c r="D179" i="11"/>
  <c r="D180" i="11"/>
  <c r="D181" i="11"/>
  <c r="D182" i="11"/>
  <c r="D183" i="11"/>
  <c r="D184" i="11"/>
  <c r="D185" i="11"/>
  <c r="D186" i="11"/>
  <c r="D187" i="11"/>
  <c r="D188" i="11"/>
  <c r="D189" i="11"/>
  <c r="D190" i="11"/>
  <c r="D191" i="11"/>
  <c r="D177" i="11"/>
  <c r="E177" i="11" s="1"/>
  <c r="E40" i="3"/>
  <c r="F40" i="3" s="1"/>
  <c r="E39" i="3"/>
  <c r="F39" i="3" s="1"/>
  <c r="E38" i="3"/>
  <c r="F38" i="3" s="1"/>
  <c r="E37" i="3"/>
  <c r="F37" i="3" s="1"/>
  <c r="E36" i="3"/>
  <c r="F36" i="3" s="1"/>
  <c r="F35" i="3"/>
  <c r="F34" i="3"/>
  <c r="C40" i="3"/>
  <c r="D40" i="3" s="1"/>
  <c r="C39" i="3"/>
  <c r="D39" i="3" s="1"/>
  <c r="C38" i="3"/>
  <c r="D38" i="3" s="1"/>
  <c r="C36" i="3"/>
  <c r="D36" i="3" s="1"/>
  <c r="D35" i="3"/>
  <c r="D34" i="3"/>
  <c r="C33" i="3"/>
  <c r="C32" i="3"/>
  <c r="C37" i="3"/>
  <c r="D37" i="3" s="1"/>
  <c r="D33" i="3" l="1"/>
  <c r="E33" i="3"/>
  <c r="F33" i="3" s="1"/>
  <c r="D31" i="3"/>
  <c r="E31" i="3"/>
  <c r="F31" i="3" s="1"/>
  <c r="D32" i="3"/>
  <c r="E32" i="3"/>
  <c r="F32" i="3" s="1"/>
  <c r="D212" i="11"/>
  <c r="F17" i="56" l="1"/>
  <c r="F18" i="56"/>
  <c r="F19" i="56"/>
  <c r="F16" i="56"/>
  <c r="F15" i="56"/>
  <c r="F14" i="56"/>
  <c r="F13" i="56"/>
  <c r="F12" i="56"/>
  <c r="F11" i="56"/>
  <c r="F10" i="56"/>
  <c r="F9" i="56"/>
  <c r="F8" i="56"/>
  <c r="C44" i="13"/>
  <c r="C45" i="13"/>
  <c r="C43" i="13"/>
  <c r="C42" i="46"/>
  <c r="E34" i="46"/>
  <c r="F34" i="46" s="1"/>
  <c r="E35" i="46"/>
  <c r="F35" i="46" s="1"/>
  <c r="C44" i="46"/>
  <c r="C43" i="46"/>
  <c r="D86" i="2"/>
  <c r="D85" i="2"/>
  <c r="D84" i="2"/>
  <c r="C77" i="2"/>
  <c r="C76" i="2"/>
  <c r="C75" i="2"/>
  <c r="C30" i="2"/>
  <c r="B68" i="2"/>
  <c r="C55" i="2"/>
  <c r="C54" i="2"/>
  <c r="E47" i="2"/>
  <c r="F47" i="2" s="1"/>
  <c r="E46" i="2"/>
  <c r="F46" i="2" s="1"/>
  <c r="E45" i="2"/>
  <c r="F45" i="2" s="1"/>
  <c r="B6" i="2" l="1"/>
  <c r="F20" i="56"/>
  <c r="B4" i="56" s="1"/>
  <c r="B5" i="2"/>
  <c r="C46" i="13"/>
  <c r="B6" i="46"/>
  <c r="B7" i="2"/>
  <c r="C31" i="2" l="1"/>
  <c r="C32" i="2"/>
  <c r="C33" i="2"/>
  <c r="C34" i="2"/>
  <c r="C35" i="2"/>
  <c r="C36" i="2"/>
  <c r="C37" i="2"/>
  <c r="C38" i="2"/>
  <c r="C16" i="2"/>
  <c r="E685" i="44"/>
  <c r="E686" i="44"/>
  <c r="E684" i="44"/>
  <c r="C23" i="2"/>
  <c r="D23" i="2" s="1"/>
  <c r="E19" i="32"/>
  <c r="E20" i="32"/>
  <c r="E21" i="32"/>
  <c r="N70" i="8"/>
  <c r="O70" i="8" s="1"/>
  <c r="K70" i="8"/>
  <c r="L70" i="8" s="1"/>
  <c r="H70" i="8"/>
  <c r="I70" i="8" s="1"/>
  <c r="F70" i="8"/>
  <c r="C70" i="8"/>
  <c r="D70" i="8" s="1"/>
  <c r="N69" i="8"/>
  <c r="O69" i="8" s="1"/>
  <c r="K69" i="8"/>
  <c r="L69" i="8" s="1"/>
  <c r="H69" i="8"/>
  <c r="I69" i="8" s="1"/>
  <c r="F69" i="8"/>
  <c r="D69" i="8"/>
  <c r="C69" i="8"/>
  <c r="N68" i="8"/>
  <c r="O68" i="8" s="1"/>
  <c r="K68" i="8"/>
  <c r="L68" i="8" s="1"/>
  <c r="H68" i="8"/>
  <c r="I68" i="8" s="1"/>
  <c r="F68" i="8"/>
  <c r="C68" i="8"/>
  <c r="D68" i="8" s="1"/>
  <c r="N67" i="8"/>
  <c r="O67" i="8" s="1"/>
  <c r="K67" i="8"/>
  <c r="L67" i="8" s="1"/>
  <c r="H67" i="8"/>
  <c r="I67" i="8" s="1"/>
  <c r="F67" i="8"/>
  <c r="C67" i="8"/>
  <c r="D67" i="8" s="1"/>
  <c r="N66" i="8"/>
  <c r="O66" i="8" s="1"/>
  <c r="K66" i="8"/>
  <c r="L66" i="8" s="1"/>
  <c r="H66" i="8"/>
  <c r="I66" i="8" s="1"/>
  <c r="F66" i="8"/>
  <c r="D66" i="8"/>
  <c r="C66" i="8"/>
  <c r="N65" i="8"/>
  <c r="O65" i="8" s="1"/>
  <c r="K65" i="8"/>
  <c r="L65" i="8" s="1"/>
  <c r="H65" i="8"/>
  <c r="I65" i="8" s="1"/>
  <c r="F65" i="8"/>
  <c r="C65" i="8"/>
  <c r="D65" i="8" s="1"/>
  <c r="N64" i="8"/>
  <c r="O64" i="8" s="1"/>
  <c r="K64" i="8"/>
  <c r="L64" i="8" s="1"/>
  <c r="H64" i="8"/>
  <c r="I64" i="8" s="1"/>
  <c r="F64" i="8"/>
  <c r="C64" i="8"/>
  <c r="D64" i="8" s="1"/>
  <c r="N63" i="8"/>
  <c r="O63" i="8" s="1"/>
  <c r="K63" i="8"/>
  <c r="L63" i="8" s="1"/>
  <c r="H63" i="8"/>
  <c r="I63" i="8" s="1"/>
  <c r="F63" i="8"/>
  <c r="C63" i="8"/>
  <c r="D63" i="8" s="1"/>
  <c r="N62" i="8"/>
  <c r="O62" i="8" s="1"/>
  <c r="K62" i="8"/>
  <c r="L62" i="8" s="1"/>
  <c r="H62" i="8"/>
  <c r="I62" i="8" s="1"/>
  <c r="F62" i="8"/>
  <c r="C62" i="8"/>
  <c r="D62" i="8" s="1"/>
  <c r="N61" i="8"/>
  <c r="O61" i="8" s="1"/>
  <c r="K61" i="8"/>
  <c r="L61" i="8" s="1"/>
  <c r="H61" i="8"/>
  <c r="I61" i="8" s="1"/>
  <c r="F61" i="8"/>
  <c r="C61" i="8"/>
  <c r="D61" i="8" s="1"/>
  <c r="N60" i="8"/>
  <c r="O60" i="8" s="1"/>
  <c r="K60" i="8"/>
  <c r="L60" i="8" s="1"/>
  <c r="H60" i="8"/>
  <c r="I60" i="8" s="1"/>
  <c r="F60" i="8"/>
  <c r="C60" i="8"/>
  <c r="D60" i="8" s="1"/>
  <c r="N59" i="8"/>
  <c r="O59" i="8" s="1"/>
  <c r="K59" i="8"/>
  <c r="L59" i="8" s="1"/>
  <c r="H59" i="8"/>
  <c r="I59" i="8" s="1"/>
  <c r="F59" i="8"/>
  <c r="C59" i="8"/>
  <c r="D59" i="8" s="1"/>
  <c r="N58" i="8"/>
  <c r="O58" i="8" s="1"/>
  <c r="K58" i="8"/>
  <c r="L58" i="8" s="1"/>
  <c r="H58" i="8"/>
  <c r="I58" i="8" s="1"/>
  <c r="F58" i="8"/>
  <c r="C58" i="8"/>
  <c r="D58" i="8" s="1"/>
  <c r="N57" i="8"/>
  <c r="O57" i="8" s="1"/>
  <c r="K57" i="8"/>
  <c r="L57" i="8" s="1"/>
  <c r="I57" i="8"/>
  <c r="H57" i="8"/>
  <c r="F57" i="8"/>
  <c r="D57" i="8"/>
  <c r="C57" i="8"/>
  <c r="N56" i="8"/>
  <c r="O56" i="8" s="1"/>
  <c r="K56" i="8"/>
  <c r="L56" i="8" s="1"/>
  <c r="H56" i="8"/>
  <c r="I56" i="8" s="1"/>
  <c r="F56" i="8"/>
  <c r="C56" i="8"/>
  <c r="D56" i="8" s="1"/>
  <c r="N55" i="8"/>
  <c r="O55" i="8" s="1"/>
  <c r="K55" i="8"/>
  <c r="L55" i="8" s="1"/>
  <c r="H55" i="8"/>
  <c r="I55" i="8" s="1"/>
  <c r="F55" i="8"/>
  <c r="C55" i="8"/>
  <c r="D55" i="8" s="1"/>
  <c r="N54" i="8"/>
  <c r="O54" i="8" s="1"/>
  <c r="K54" i="8"/>
  <c r="L54" i="8" s="1"/>
  <c r="H54" i="8"/>
  <c r="I54" i="8" s="1"/>
  <c r="F54" i="8"/>
  <c r="C54" i="8"/>
  <c r="D54" i="8" s="1"/>
  <c r="N53" i="8"/>
  <c r="O53" i="8" s="1"/>
  <c r="K53" i="8"/>
  <c r="L53" i="8" s="1"/>
  <c r="H53" i="8"/>
  <c r="I53" i="8" s="1"/>
  <c r="F53" i="8"/>
  <c r="C53" i="8"/>
  <c r="D53" i="8" s="1"/>
  <c r="N52" i="8"/>
  <c r="O52" i="8" s="1"/>
  <c r="K52" i="8"/>
  <c r="L52" i="8" s="1"/>
  <c r="H52" i="8"/>
  <c r="I52" i="8" s="1"/>
  <c r="F52" i="8"/>
  <c r="C52" i="8"/>
  <c r="D52" i="8" s="1"/>
  <c r="N51" i="8"/>
  <c r="O51" i="8" s="1"/>
  <c r="K51" i="8"/>
  <c r="L51" i="8" s="1"/>
  <c r="H51" i="8"/>
  <c r="I51" i="8" s="1"/>
  <c r="F51" i="8"/>
  <c r="C51" i="8"/>
  <c r="D51" i="8" s="1"/>
  <c r="N50" i="8"/>
  <c r="O50" i="8" s="1"/>
  <c r="K50" i="8"/>
  <c r="L50" i="8" s="1"/>
  <c r="H50" i="8"/>
  <c r="I50" i="8" s="1"/>
  <c r="F50" i="8"/>
  <c r="C50" i="8"/>
  <c r="D50" i="8" s="1"/>
  <c r="N49" i="8"/>
  <c r="O49" i="8" s="1"/>
  <c r="K49" i="8"/>
  <c r="L49" i="8" s="1"/>
  <c r="H49" i="8"/>
  <c r="I49" i="8" s="1"/>
  <c r="F49" i="8"/>
  <c r="C49" i="8"/>
  <c r="D49" i="8" s="1"/>
  <c r="N48" i="8"/>
  <c r="O48" i="8" s="1"/>
  <c r="K48" i="8"/>
  <c r="L48" i="8" s="1"/>
  <c r="H48" i="8"/>
  <c r="I48" i="8" s="1"/>
  <c r="F48" i="8"/>
  <c r="C48" i="8"/>
  <c r="D48" i="8" s="1"/>
  <c r="N47" i="8"/>
  <c r="O47" i="8" s="1"/>
  <c r="K47" i="8"/>
  <c r="L47" i="8" s="1"/>
  <c r="H47" i="8"/>
  <c r="I47" i="8" s="1"/>
  <c r="F47" i="8"/>
  <c r="C47" i="8"/>
  <c r="D47" i="8" s="1"/>
  <c r="N46" i="8"/>
  <c r="O46" i="8" s="1"/>
  <c r="K46" i="8"/>
  <c r="L46" i="8" s="1"/>
  <c r="H46" i="8"/>
  <c r="I46" i="8" s="1"/>
  <c r="F46" i="8"/>
  <c r="C46" i="8"/>
  <c r="D46" i="8" s="1"/>
  <c r="N45" i="8"/>
  <c r="O45" i="8" s="1"/>
  <c r="K45" i="8"/>
  <c r="L45" i="8" s="1"/>
  <c r="H45" i="8"/>
  <c r="I45" i="8" s="1"/>
  <c r="F45" i="8"/>
  <c r="C45" i="8"/>
  <c r="D45" i="8" s="1"/>
  <c r="N44" i="8"/>
  <c r="O44" i="8" s="1"/>
  <c r="K44" i="8"/>
  <c r="L44" i="8" s="1"/>
  <c r="H44" i="8"/>
  <c r="I44" i="8" s="1"/>
  <c r="F44" i="8"/>
  <c r="C44" i="8"/>
  <c r="D44" i="8" s="1"/>
  <c r="N43" i="8"/>
  <c r="O43" i="8" s="1"/>
  <c r="K43" i="8"/>
  <c r="L43" i="8" s="1"/>
  <c r="H43" i="8"/>
  <c r="I43" i="8" s="1"/>
  <c r="F43" i="8"/>
  <c r="C43" i="8"/>
  <c r="D43" i="8" s="1"/>
  <c r="N42" i="8"/>
  <c r="O42" i="8" s="1"/>
  <c r="K42" i="8"/>
  <c r="L42" i="8" s="1"/>
  <c r="H42" i="8"/>
  <c r="I42" i="8" s="1"/>
  <c r="F42" i="8"/>
  <c r="C42" i="8"/>
  <c r="D42" i="8" s="1"/>
  <c r="N41" i="8"/>
  <c r="O41" i="8" s="1"/>
  <c r="K41" i="8"/>
  <c r="L41" i="8" s="1"/>
  <c r="H41" i="8"/>
  <c r="I41" i="8" s="1"/>
  <c r="F41" i="8"/>
  <c r="C41" i="8"/>
  <c r="D41" i="8" s="1"/>
  <c r="N40" i="8"/>
  <c r="O40" i="8" s="1"/>
  <c r="K40" i="8"/>
  <c r="L40" i="8" s="1"/>
  <c r="H40" i="8"/>
  <c r="I40" i="8" s="1"/>
  <c r="F40" i="8"/>
  <c r="C40" i="8"/>
  <c r="D40" i="8" s="1"/>
  <c r="N39" i="8"/>
  <c r="O39" i="8" s="1"/>
  <c r="K39" i="8"/>
  <c r="L39" i="8" s="1"/>
  <c r="H39" i="8"/>
  <c r="I39" i="8" s="1"/>
  <c r="F39" i="8"/>
  <c r="C39" i="8"/>
  <c r="D39" i="8" s="1"/>
  <c r="N38" i="8"/>
  <c r="O38" i="8" s="1"/>
  <c r="K38" i="8"/>
  <c r="L38" i="8" s="1"/>
  <c r="H38" i="8"/>
  <c r="I38" i="8" s="1"/>
  <c r="F38" i="8"/>
  <c r="C38" i="8"/>
  <c r="D38" i="8" s="1"/>
  <c r="N37" i="8"/>
  <c r="O37" i="8" s="1"/>
  <c r="K37" i="8"/>
  <c r="L37" i="8" s="1"/>
  <c r="H37" i="8"/>
  <c r="I37" i="8" s="1"/>
  <c r="F37" i="8"/>
  <c r="C37" i="8"/>
  <c r="D37" i="8" s="1"/>
  <c r="N36" i="8"/>
  <c r="O36" i="8" s="1"/>
  <c r="K36" i="8"/>
  <c r="L36" i="8" s="1"/>
  <c r="H36" i="8"/>
  <c r="I36" i="8" s="1"/>
  <c r="F36" i="8"/>
  <c r="C36" i="8"/>
  <c r="D36" i="8" s="1"/>
  <c r="N35" i="8"/>
  <c r="O35" i="8" s="1"/>
  <c r="K35" i="8"/>
  <c r="L35" i="8" s="1"/>
  <c r="H35" i="8"/>
  <c r="I35" i="8" s="1"/>
  <c r="F35" i="8"/>
  <c r="C35" i="8"/>
  <c r="D35" i="8" s="1"/>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40" i="9"/>
  <c r="C27" i="8"/>
  <c r="C26" i="8"/>
  <c r="C25" i="8"/>
  <c r="C24" i="8"/>
  <c r="C23" i="8"/>
  <c r="C22" i="8"/>
  <c r="C21" i="8"/>
  <c r="C20" i="8"/>
  <c r="C19" i="8"/>
  <c r="C18" i="8"/>
  <c r="C17" i="8"/>
  <c r="C16" i="8"/>
  <c r="C15" i="8"/>
  <c r="C14" i="8"/>
  <c r="C13" i="8"/>
  <c r="C12" i="8"/>
  <c r="N75" i="9"/>
  <c r="O75" i="9" s="1"/>
  <c r="K75" i="9"/>
  <c r="L75" i="9" s="1"/>
  <c r="H75" i="9"/>
  <c r="I75" i="9" s="1"/>
  <c r="C75" i="9"/>
  <c r="D75" i="9" s="1"/>
  <c r="N74" i="9"/>
  <c r="O74" i="9" s="1"/>
  <c r="K74" i="9"/>
  <c r="L74" i="9" s="1"/>
  <c r="H74" i="9"/>
  <c r="I74" i="9" s="1"/>
  <c r="C74" i="9"/>
  <c r="D74" i="9" s="1"/>
  <c r="N73" i="9"/>
  <c r="O73" i="9" s="1"/>
  <c r="K73" i="9"/>
  <c r="L73" i="9" s="1"/>
  <c r="H73" i="9"/>
  <c r="I73" i="9" s="1"/>
  <c r="C73" i="9"/>
  <c r="D73" i="9" s="1"/>
  <c r="N72" i="9"/>
  <c r="O72" i="9" s="1"/>
  <c r="K72" i="9"/>
  <c r="L72" i="9" s="1"/>
  <c r="H72" i="9"/>
  <c r="I72" i="9" s="1"/>
  <c r="C72" i="9"/>
  <c r="D72" i="9" s="1"/>
  <c r="N71" i="9"/>
  <c r="O71" i="9" s="1"/>
  <c r="K71" i="9"/>
  <c r="L71" i="9" s="1"/>
  <c r="H71" i="9"/>
  <c r="I71" i="9" s="1"/>
  <c r="C71" i="9"/>
  <c r="D71" i="9" s="1"/>
  <c r="N70" i="9"/>
  <c r="O70" i="9" s="1"/>
  <c r="K70" i="9"/>
  <c r="L70" i="9" s="1"/>
  <c r="H70" i="9"/>
  <c r="I70" i="9" s="1"/>
  <c r="C70" i="9"/>
  <c r="D70" i="9" s="1"/>
  <c r="N69" i="9"/>
  <c r="O69" i="9" s="1"/>
  <c r="K69" i="9"/>
  <c r="L69" i="9" s="1"/>
  <c r="H69" i="9"/>
  <c r="I69" i="9" s="1"/>
  <c r="C69" i="9"/>
  <c r="D69" i="9" s="1"/>
  <c r="N68" i="9"/>
  <c r="O68" i="9" s="1"/>
  <c r="K68" i="9"/>
  <c r="L68" i="9" s="1"/>
  <c r="H68" i="9"/>
  <c r="I68" i="9" s="1"/>
  <c r="C68" i="9"/>
  <c r="D68" i="9" s="1"/>
  <c r="N67" i="9"/>
  <c r="O67" i="9" s="1"/>
  <c r="K67" i="9"/>
  <c r="L67" i="9" s="1"/>
  <c r="H67" i="9"/>
  <c r="I67" i="9" s="1"/>
  <c r="C67" i="9"/>
  <c r="D67" i="9" s="1"/>
  <c r="N66" i="9"/>
  <c r="O66" i="9" s="1"/>
  <c r="K66" i="9"/>
  <c r="L66" i="9" s="1"/>
  <c r="H66" i="9"/>
  <c r="I66" i="9" s="1"/>
  <c r="C66" i="9"/>
  <c r="D66" i="9" s="1"/>
  <c r="N65" i="9"/>
  <c r="O65" i="9" s="1"/>
  <c r="K65" i="9"/>
  <c r="L65" i="9" s="1"/>
  <c r="H65" i="9"/>
  <c r="I65" i="9" s="1"/>
  <c r="C65" i="9"/>
  <c r="D65" i="9" s="1"/>
  <c r="N64" i="9"/>
  <c r="O64" i="9" s="1"/>
  <c r="K64" i="9"/>
  <c r="L64" i="9" s="1"/>
  <c r="H64" i="9"/>
  <c r="I64" i="9" s="1"/>
  <c r="C64" i="9"/>
  <c r="D64" i="9" s="1"/>
  <c r="N63" i="9"/>
  <c r="O63" i="9" s="1"/>
  <c r="K63" i="9"/>
  <c r="L63" i="9" s="1"/>
  <c r="H63" i="9"/>
  <c r="I63" i="9" s="1"/>
  <c r="C63" i="9"/>
  <c r="D63" i="9" s="1"/>
  <c r="N62" i="9"/>
  <c r="O62" i="9" s="1"/>
  <c r="K62" i="9"/>
  <c r="L62" i="9" s="1"/>
  <c r="H62" i="9"/>
  <c r="I62" i="9" s="1"/>
  <c r="C62" i="9"/>
  <c r="D62" i="9" s="1"/>
  <c r="N61" i="9"/>
  <c r="O61" i="9" s="1"/>
  <c r="K61" i="9"/>
  <c r="L61" i="9" s="1"/>
  <c r="H61" i="9"/>
  <c r="I61" i="9" s="1"/>
  <c r="C61" i="9"/>
  <c r="D61" i="9" s="1"/>
  <c r="N60" i="9"/>
  <c r="O60" i="9" s="1"/>
  <c r="K60" i="9"/>
  <c r="L60" i="9" s="1"/>
  <c r="H60" i="9"/>
  <c r="I60" i="9" s="1"/>
  <c r="C60" i="9"/>
  <c r="D60" i="9" s="1"/>
  <c r="N59" i="9"/>
  <c r="O59" i="9" s="1"/>
  <c r="K59" i="9"/>
  <c r="L59" i="9" s="1"/>
  <c r="H59" i="9"/>
  <c r="I59" i="9" s="1"/>
  <c r="C59" i="9"/>
  <c r="D59" i="9" s="1"/>
  <c r="N58" i="9"/>
  <c r="O58" i="9" s="1"/>
  <c r="K58" i="9"/>
  <c r="L58" i="9" s="1"/>
  <c r="H58" i="9"/>
  <c r="I58" i="9" s="1"/>
  <c r="C58" i="9"/>
  <c r="D58" i="9" s="1"/>
  <c r="N57" i="9"/>
  <c r="O57" i="9" s="1"/>
  <c r="K57" i="9"/>
  <c r="L57" i="9" s="1"/>
  <c r="H57" i="9"/>
  <c r="I57" i="9" s="1"/>
  <c r="C57" i="9"/>
  <c r="D57" i="9" s="1"/>
  <c r="N56" i="9"/>
  <c r="O56" i="9" s="1"/>
  <c r="K56" i="9"/>
  <c r="L56" i="9" s="1"/>
  <c r="H56" i="9"/>
  <c r="I56" i="9" s="1"/>
  <c r="C56" i="9"/>
  <c r="D56" i="9" s="1"/>
  <c r="N55" i="9"/>
  <c r="O55" i="9" s="1"/>
  <c r="K55" i="9"/>
  <c r="L55" i="9" s="1"/>
  <c r="H55" i="9"/>
  <c r="I55" i="9" s="1"/>
  <c r="C55" i="9"/>
  <c r="D55" i="9" s="1"/>
  <c r="N54" i="9"/>
  <c r="O54" i="9" s="1"/>
  <c r="K54" i="9"/>
  <c r="L54" i="9" s="1"/>
  <c r="H54" i="9"/>
  <c r="I54" i="9" s="1"/>
  <c r="C54" i="9"/>
  <c r="D54" i="9" s="1"/>
  <c r="N53" i="9"/>
  <c r="O53" i="9" s="1"/>
  <c r="K53" i="9"/>
  <c r="L53" i="9" s="1"/>
  <c r="H53" i="9"/>
  <c r="I53" i="9" s="1"/>
  <c r="C53" i="9"/>
  <c r="D53" i="9" s="1"/>
  <c r="N52" i="9"/>
  <c r="O52" i="9" s="1"/>
  <c r="K52" i="9"/>
  <c r="L52" i="9" s="1"/>
  <c r="H52" i="9"/>
  <c r="I52" i="9" s="1"/>
  <c r="C52" i="9"/>
  <c r="D52" i="9" s="1"/>
  <c r="N51" i="9"/>
  <c r="O51" i="9" s="1"/>
  <c r="K51" i="9"/>
  <c r="L51" i="9" s="1"/>
  <c r="H51" i="9"/>
  <c r="I51" i="9" s="1"/>
  <c r="C51" i="9"/>
  <c r="D51" i="9" s="1"/>
  <c r="N50" i="9"/>
  <c r="O50" i="9" s="1"/>
  <c r="K50" i="9"/>
  <c r="L50" i="9" s="1"/>
  <c r="H50" i="9"/>
  <c r="I50" i="9" s="1"/>
  <c r="C50" i="9"/>
  <c r="D50" i="9" s="1"/>
  <c r="N49" i="9"/>
  <c r="O49" i="9" s="1"/>
  <c r="K49" i="9"/>
  <c r="L49" i="9" s="1"/>
  <c r="H49" i="9"/>
  <c r="I49" i="9" s="1"/>
  <c r="C49" i="9"/>
  <c r="D49" i="9" s="1"/>
  <c r="N48" i="9"/>
  <c r="O48" i="9" s="1"/>
  <c r="K48" i="9"/>
  <c r="L48" i="9" s="1"/>
  <c r="H48" i="9"/>
  <c r="I48" i="9" s="1"/>
  <c r="C48" i="9"/>
  <c r="D48" i="9" s="1"/>
  <c r="N47" i="9"/>
  <c r="O47" i="9" s="1"/>
  <c r="K47" i="9"/>
  <c r="L47" i="9" s="1"/>
  <c r="H47" i="9"/>
  <c r="I47" i="9" s="1"/>
  <c r="C47" i="9"/>
  <c r="D47" i="9" s="1"/>
  <c r="N46" i="9"/>
  <c r="O46" i="9" s="1"/>
  <c r="K46" i="9"/>
  <c r="L46" i="9" s="1"/>
  <c r="H46" i="9"/>
  <c r="I46" i="9" s="1"/>
  <c r="C46" i="9"/>
  <c r="D46" i="9" s="1"/>
  <c r="N45" i="9"/>
  <c r="O45" i="9" s="1"/>
  <c r="K45" i="9"/>
  <c r="L45" i="9" s="1"/>
  <c r="H45" i="9"/>
  <c r="I45" i="9" s="1"/>
  <c r="C45" i="9"/>
  <c r="D45" i="9" s="1"/>
  <c r="N44" i="9"/>
  <c r="O44" i="9" s="1"/>
  <c r="K44" i="9"/>
  <c r="L44" i="9" s="1"/>
  <c r="H44" i="9"/>
  <c r="I44" i="9" s="1"/>
  <c r="C44" i="9"/>
  <c r="D44" i="9" s="1"/>
  <c r="N43" i="9"/>
  <c r="O43" i="9" s="1"/>
  <c r="K43" i="9"/>
  <c r="L43" i="9" s="1"/>
  <c r="H43" i="9"/>
  <c r="I43" i="9" s="1"/>
  <c r="C43" i="9"/>
  <c r="D43" i="9" s="1"/>
  <c r="N42" i="9"/>
  <c r="O42" i="9" s="1"/>
  <c r="K42" i="9"/>
  <c r="L42" i="9" s="1"/>
  <c r="H42" i="9"/>
  <c r="I42" i="9" s="1"/>
  <c r="C42" i="9"/>
  <c r="D42" i="9" s="1"/>
  <c r="N41" i="9"/>
  <c r="O41" i="9" s="1"/>
  <c r="K41" i="9"/>
  <c r="L41" i="9" s="1"/>
  <c r="H41" i="9"/>
  <c r="I41" i="9" s="1"/>
  <c r="C41" i="9"/>
  <c r="D41" i="9" s="1"/>
  <c r="N40" i="9"/>
  <c r="O40" i="9" s="1"/>
  <c r="K40" i="9"/>
  <c r="L40" i="9" s="1"/>
  <c r="H40" i="9"/>
  <c r="I40" i="9" s="1"/>
  <c r="C40" i="9"/>
  <c r="D40" i="9" s="1"/>
  <c r="D252" i="10"/>
  <c r="D253" i="10"/>
  <c r="D254" i="10"/>
  <c r="D255" i="10"/>
  <c r="D256" i="10"/>
  <c r="D257" i="10"/>
  <c r="D258" i="10"/>
  <c r="D259" i="10"/>
  <c r="D260" i="10"/>
  <c r="D251" i="10"/>
  <c r="H251" i="10"/>
  <c r="F252" i="10"/>
  <c r="F253" i="10"/>
  <c r="F254" i="10"/>
  <c r="F255" i="10"/>
  <c r="F256" i="10"/>
  <c r="F257" i="10"/>
  <c r="F258" i="10"/>
  <c r="F259" i="10"/>
  <c r="F260" i="10"/>
  <c r="F251" i="10"/>
  <c r="D245" i="10"/>
  <c r="F245" i="10" s="1"/>
  <c r="D244" i="10"/>
  <c r="E244" i="10" s="1"/>
  <c r="D243" i="10"/>
  <c r="G243" i="10" s="1"/>
  <c r="D242" i="10"/>
  <c r="F242" i="10" s="1"/>
  <c r="D241" i="10"/>
  <c r="G241" i="10" s="1"/>
  <c r="D240" i="10"/>
  <c r="G240" i="10" s="1"/>
  <c r="D239" i="10"/>
  <c r="F239" i="10" s="1"/>
  <c r="D238" i="10"/>
  <c r="G238" i="10" s="1"/>
  <c r="D237" i="10"/>
  <c r="G237" i="10" s="1"/>
  <c r="D236" i="10"/>
  <c r="F236" i="10" s="1"/>
  <c r="D230" i="10"/>
  <c r="F230" i="10" s="1"/>
  <c r="D229" i="10"/>
  <c r="G229" i="10" s="1"/>
  <c r="D228" i="10"/>
  <c r="G228" i="10" s="1"/>
  <c r="D227" i="10"/>
  <c r="F227" i="10" s="1"/>
  <c r="D226" i="10"/>
  <c r="E226" i="10" s="1"/>
  <c r="D225" i="10"/>
  <c r="G225" i="10" s="1"/>
  <c r="D224" i="10"/>
  <c r="F224" i="10" s="1"/>
  <c r="D223" i="10"/>
  <c r="E223" i="10" s="1"/>
  <c r="D222" i="10"/>
  <c r="G222" i="10" s="1"/>
  <c r="D221" i="10"/>
  <c r="F221" i="10" s="1"/>
  <c r="D220" i="10"/>
  <c r="E220" i="10" s="1"/>
  <c r="D214" i="10"/>
  <c r="E214" i="10" s="1"/>
  <c r="D213" i="10"/>
  <c r="G213" i="10" s="1"/>
  <c r="D212" i="10"/>
  <c r="F212" i="10" s="1"/>
  <c r="D211" i="10"/>
  <c r="E211" i="10" s="1"/>
  <c r="D210" i="10"/>
  <c r="G210" i="10" s="1"/>
  <c r="D209" i="10"/>
  <c r="F209" i="10" s="1"/>
  <c r="D208" i="10"/>
  <c r="E208" i="10" s="1"/>
  <c r="D207" i="10"/>
  <c r="G207" i="10" s="1"/>
  <c r="D206" i="10"/>
  <c r="F206" i="10" s="1"/>
  <c r="D205" i="10"/>
  <c r="E205" i="10" s="1"/>
  <c r="D199" i="10"/>
  <c r="E199" i="10" s="1"/>
  <c r="D198" i="10"/>
  <c r="G198" i="10" s="1"/>
  <c r="D197" i="10"/>
  <c r="F197" i="10" s="1"/>
  <c r="D196" i="10"/>
  <c r="E196" i="10" s="1"/>
  <c r="D195" i="10"/>
  <c r="G195" i="10" s="1"/>
  <c r="D194" i="10"/>
  <c r="F194" i="10" s="1"/>
  <c r="D193" i="10"/>
  <c r="E193" i="10" s="1"/>
  <c r="D192" i="10"/>
  <c r="G192" i="10" s="1"/>
  <c r="D191" i="10"/>
  <c r="F191" i="10" s="1"/>
  <c r="D190" i="10"/>
  <c r="E190" i="10" s="1"/>
  <c r="D182" i="10"/>
  <c r="F182" i="10" s="1"/>
  <c r="D181" i="10"/>
  <c r="E181" i="10" s="1"/>
  <c r="D180" i="10"/>
  <c r="G180" i="10" s="1"/>
  <c r="D179" i="10"/>
  <c r="F179" i="10" s="1"/>
  <c r="D178" i="10"/>
  <c r="E178" i="10" s="1"/>
  <c r="D177" i="10"/>
  <c r="G177" i="10" s="1"/>
  <c r="D176" i="10"/>
  <c r="F176" i="10" s="1"/>
  <c r="D175" i="10"/>
  <c r="E175" i="10" s="1"/>
  <c r="D174" i="10"/>
  <c r="G174" i="10" s="1"/>
  <c r="D173" i="10"/>
  <c r="F173" i="10" s="1"/>
  <c r="D167" i="10"/>
  <c r="F167" i="10" s="1"/>
  <c r="D166" i="10"/>
  <c r="G166" i="10" s="1"/>
  <c r="D165" i="10"/>
  <c r="G165" i="10" s="1"/>
  <c r="D164" i="10"/>
  <c r="F164" i="10" s="1"/>
  <c r="D163" i="10"/>
  <c r="G163" i="10" s="1"/>
  <c r="D162" i="10"/>
  <c r="G162" i="10" s="1"/>
  <c r="D161" i="10"/>
  <c r="F161" i="10" s="1"/>
  <c r="D160" i="10"/>
  <c r="E160" i="10" s="1"/>
  <c r="D159" i="10"/>
  <c r="G159" i="10" s="1"/>
  <c r="D158" i="10"/>
  <c r="F158" i="10" s="1"/>
  <c r="D157" i="10"/>
  <c r="E157" i="10" s="1"/>
  <c r="D151" i="10"/>
  <c r="E151" i="10" s="1"/>
  <c r="D150" i="10"/>
  <c r="G150" i="10" s="1"/>
  <c r="D149" i="10"/>
  <c r="F149" i="10" s="1"/>
  <c r="D148" i="10"/>
  <c r="E148" i="10" s="1"/>
  <c r="D147" i="10"/>
  <c r="G147" i="10" s="1"/>
  <c r="D146" i="10"/>
  <c r="F146" i="10" s="1"/>
  <c r="D145" i="10"/>
  <c r="E145" i="10" s="1"/>
  <c r="D144" i="10"/>
  <c r="G144" i="10" s="1"/>
  <c r="D143" i="10"/>
  <c r="F143" i="10" s="1"/>
  <c r="D142" i="10"/>
  <c r="E142" i="10" s="1"/>
  <c r="D136" i="10"/>
  <c r="E136" i="10" s="1"/>
  <c r="D135" i="10"/>
  <c r="G135" i="10" s="1"/>
  <c r="D134" i="10"/>
  <c r="F134" i="10" s="1"/>
  <c r="D133" i="10"/>
  <c r="E133" i="10" s="1"/>
  <c r="D132" i="10"/>
  <c r="G132" i="10" s="1"/>
  <c r="D131" i="10"/>
  <c r="F131" i="10" s="1"/>
  <c r="D130" i="10"/>
  <c r="G130" i="10" s="1"/>
  <c r="D129" i="10"/>
  <c r="G129" i="10" s="1"/>
  <c r="D128" i="10"/>
  <c r="F128" i="10" s="1"/>
  <c r="D127" i="10"/>
  <c r="E127" i="10" s="1"/>
  <c r="I251" i="10" l="1"/>
  <c r="F198" i="10"/>
  <c r="B4" i="8"/>
  <c r="G23" i="2"/>
  <c r="F23" i="2"/>
  <c r="E23" i="2"/>
  <c r="I71" i="8"/>
  <c r="L76" i="9"/>
  <c r="O76" i="9"/>
  <c r="D71" i="8"/>
  <c r="O71" i="8"/>
  <c r="F71" i="8"/>
  <c r="B6" i="8" s="1"/>
  <c r="I76" i="9"/>
  <c r="L71" i="8"/>
  <c r="F76" i="9"/>
  <c r="B7" i="9" s="1"/>
  <c r="F20" i="32" s="1"/>
  <c r="D76" i="9"/>
  <c r="B6" i="9" s="1"/>
  <c r="F19" i="32" s="1"/>
  <c r="F195" i="10"/>
  <c r="F213" i="10"/>
  <c r="F192" i="10"/>
  <c r="F207" i="10"/>
  <c r="E229" i="10"/>
  <c r="F210" i="10"/>
  <c r="F190" i="10"/>
  <c r="E192" i="10"/>
  <c r="F193" i="10"/>
  <c r="E195" i="10"/>
  <c r="F196" i="10"/>
  <c r="E198" i="10"/>
  <c r="H198" i="10" s="1"/>
  <c r="F199" i="10"/>
  <c r="E213" i="10"/>
  <c r="F214" i="10"/>
  <c r="F229" i="10"/>
  <c r="F220" i="10"/>
  <c r="E222" i="10"/>
  <c r="F223" i="10"/>
  <c r="E225" i="10"/>
  <c r="F226" i="10"/>
  <c r="E228" i="10"/>
  <c r="E238" i="10"/>
  <c r="E241" i="10"/>
  <c r="F244" i="10"/>
  <c r="F144" i="10"/>
  <c r="F157" i="10"/>
  <c r="F205" i="10"/>
  <c r="E207" i="10"/>
  <c r="F208" i="10"/>
  <c r="E210" i="10"/>
  <c r="F211" i="10"/>
  <c r="F222" i="10"/>
  <c r="F225" i="10"/>
  <c r="E237" i="10"/>
  <c r="F238" i="10"/>
  <c r="E240" i="10"/>
  <c r="F241" i="10"/>
  <c r="E243" i="10"/>
  <c r="G191" i="10"/>
  <c r="G197" i="10"/>
  <c r="G206" i="10"/>
  <c r="G221" i="10"/>
  <c r="G224" i="10"/>
  <c r="G227" i="10"/>
  <c r="G230" i="10"/>
  <c r="G236" i="10"/>
  <c r="G190" i="10"/>
  <c r="E191" i="10"/>
  <c r="G193" i="10"/>
  <c r="E194" i="10"/>
  <c r="G196" i="10"/>
  <c r="E197" i="10"/>
  <c r="G199" i="10"/>
  <c r="G205" i="10"/>
  <c r="E206" i="10"/>
  <c r="G208" i="10"/>
  <c r="E209" i="10"/>
  <c r="G211" i="10"/>
  <c r="E212" i="10"/>
  <c r="G214" i="10"/>
  <c r="G220" i="10"/>
  <c r="E221" i="10"/>
  <c r="G223" i="10"/>
  <c r="E224" i="10"/>
  <c r="G226" i="10"/>
  <c r="E227" i="10"/>
  <c r="F228" i="10"/>
  <c r="E230" i="10"/>
  <c r="E236" i="10"/>
  <c r="F237" i="10"/>
  <c r="E239" i="10"/>
  <c r="F240" i="10"/>
  <c r="E242" i="10"/>
  <c r="F243" i="10"/>
  <c r="G244" i="10"/>
  <c r="E245" i="10"/>
  <c r="G194" i="10"/>
  <c r="G209" i="10"/>
  <c r="G212" i="10"/>
  <c r="G239" i="10"/>
  <c r="G242" i="10"/>
  <c r="G245" i="10"/>
  <c r="F130" i="10"/>
  <c r="E132" i="10"/>
  <c r="F127" i="10"/>
  <c r="E129" i="10"/>
  <c r="E130" i="10"/>
  <c r="F133" i="10"/>
  <c r="E135" i="10"/>
  <c r="F142" i="10"/>
  <c r="E144" i="10"/>
  <c r="F145" i="10"/>
  <c r="E147" i="10"/>
  <c r="E159" i="10"/>
  <c r="F136" i="10"/>
  <c r="F151" i="10"/>
  <c r="E163" i="10"/>
  <c r="E166" i="10"/>
  <c r="E174" i="10"/>
  <c r="F175" i="10"/>
  <c r="E177" i="10"/>
  <c r="F178" i="10"/>
  <c r="E180" i="10"/>
  <c r="F181" i="10"/>
  <c r="G111" i="10"/>
  <c r="F148" i="10"/>
  <c r="E150" i="10"/>
  <c r="F160" i="10"/>
  <c r="E162" i="10"/>
  <c r="F163" i="10"/>
  <c r="E165" i="10"/>
  <c r="F166" i="10"/>
  <c r="G173" i="10"/>
  <c r="F174" i="10"/>
  <c r="F177" i="10"/>
  <c r="F180" i="10"/>
  <c r="G128" i="10"/>
  <c r="G131" i="10"/>
  <c r="G134" i="10"/>
  <c r="G158" i="10"/>
  <c r="G161" i="10"/>
  <c r="G164" i="10"/>
  <c r="G176" i="10"/>
  <c r="G179" i="10"/>
  <c r="G182" i="10"/>
  <c r="G127" i="10"/>
  <c r="E128" i="10"/>
  <c r="F129" i="10"/>
  <c r="E131" i="10"/>
  <c r="F132" i="10"/>
  <c r="G133" i="10"/>
  <c r="E134" i="10"/>
  <c r="F135" i="10"/>
  <c r="G136" i="10"/>
  <c r="G142" i="10"/>
  <c r="E143" i="10"/>
  <c r="G145" i="10"/>
  <c r="E146" i="10"/>
  <c r="F147" i="10"/>
  <c r="G148" i="10"/>
  <c r="E149" i="10"/>
  <c r="F150" i="10"/>
  <c r="G151" i="10"/>
  <c r="G157" i="10"/>
  <c r="E158" i="10"/>
  <c r="F159" i="10"/>
  <c r="G160" i="10"/>
  <c r="E161" i="10"/>
  <c r="F162" i="10"/>
  <c r="E164" i="10"/>
  <c r="F165" i="10"/>
  <c r="E167" i="10"/>
  <c r="E173" i="10"/>
  <c r="G175" i="10"/>
  <c r="E176" i="10"/>
  <c r="G178" i="10"/>
  <c r="E179" i="10"/>
  <c r="G181" i="10"/>
  <c r="E182" i="10"/>
  <c r="G143" i="10"/>
  <c r="H143" i="10" s="1"/>
  <c r="G146" i="10"/>
  <c r="G149" i="10"/>
  <c r="G167" i="10"/>
  <c r="G120" i="10"/>
  <c r="G119" i="10"/>
  <c r="G118" i="10"/>
  <c r="G117" i="10"/>
  <c r="G116" i="10"/>
  <c r="G115" i="10"/>
  <c r="G114" i="10"/>
  <c r="G113" i="10"/>
  <c r="G112" i="10"/>
  <c r="H190" i="10" l="1"/>
  <c r="H213" i="10"/>
  <c r="H240" i="10"/>
  <c r="H194" i="10"/>
  <c r="H199" i="10"/>
  <c r="H129" i="10"/>
  <c r="H209" i="10"/>
  <c r="H243" i="10"/>
  <c r="H181" i="10"/>
  <c r="H136" i="10"/>
  <c r="H245" i="10"/>
  <c r="H149" i="10"/>
  <c r="H226" i="10"/>
  <c r="H239" i="10"/>
  <c r="H23" i="2"/>
  <c r="B8" i="9"/>
  <c r="F21" i="32" s="1"/>
  <c r="H195" i="10"/>
  <c r="H241" i="10"/>
  <c r="H207" i="10"/>
  <c r="H192" i="10"/>
  <c r="H146" i="10"/>
  <c r="H151" i="10"/>
  <c r="H238" i="10"/>
  <c r="H228" i="10"/>
  <c r="H144" i="10"/>
  <c r="H193" i="10"/>
  <c r="H214" i="10"/>
  <c r="H225" i="10"/>
  <c r="H210" i="10"/>
  <c r="H244" i="10"/>
  <c r="H223" i="10"/>
  <c r="H196" i="10"/>
  <c r="H229" i="10"/>
  <c r="H162" i="10"/>
  <c r="H159" i="10"/>
  <c r="H148" i="10"/>
  <c r="H133" i="10"/>
  <c r="H182" i="10"/>
  <c r="H164" i="10"/>
  <c r="H134" i="10"/>
  <c r="H180" i="10"/>
  <c r="H163" i="10"/>
  <c r="H222" i="10"/>
  <c r="H135" i="10"/>
  <c r="H130" i="10"/>
  <c r="H205" i="10"/>
  <c r="H147" i="10"/>
  <c r="H132" i="10"/>
  <c r="H166" i="10"/>
  <c r="H208" i="10"/>
  <c r="H157" i="10"/>
  <c r="H142" i="10"/>
  <c r="H212" i="10"/>
  <c r="H237" i="10"/>
  <c r="H220" i="10"/>
  <c r="H211" i="10"/>
  <c r="H236" i="10"/>
  <c r="H224" i="10"/>
  <c r="H197" i="10"/>
  <c r="H242" i="10"/>
  <c r="H230" i="10"/>
  <c r="H221" i="10"/>
  <c r="H191" i="10"/>
  <c r="H227" i="10"/>
  <c r="H206" i="10"/>
  <c r="H150" i="10"/>
  <c r="H127" i="10"/>
  <c r="H174" i="10"/>
  <c r="H177" i="10"/>
  <c r="H145" i="10"/>
  <c r="H175" i="10"/>
  <c r="H165" i="10"/>
  <c r="H178" i="10"/>
  <c r="H173" i="10"/>
  <c r="H160" i="10"/>
  <c r="H167" i="10"/>
  <c r="H179" i="10"/>
  <c r="H161" i="10"/>
  <c r="H131" i="10"/>
  <c r="H176" i="10"/>
  <c r="H158" i="10"/>
  <c r="H128" i="10"/>
  <c r="G121" i="10"/>
  <c r="B7" i="10" s="1"/>
  <c r="H231" i="10" l="1"/>
  <c r="H168" i="10"/>
  <c r="H215" i="10"/>
  <c r="H200" i="10"/>
  <c r="H246" i="10"/>
  <c r="H152" i="10"/>
  <c r="H183" i="10"/>
  <c r="H137" i="10"/>
  <c r="B9" i="10" l="1"/>
  <c r="B8" i="10"/>
  <c r="D64" i="10" l="1"/>
  <c r="E64" i="10" s="1"/>
  <c r="F64" i="10" l="1"/>
  <c r="G64" i="10"/>
  <c r="C773" i="11" l="1"/>
  <c r="D773" i="11" s="1"/>
  <c r="C772" i="11"/>
  <c r="D772" i="11" s="1"/>
  <c r="I772" i="11" s="1"/>
  <c r="C771" i="11"/>
  <c r="D771" i="11" s="1"/>
  <c r="C770" i="11"/>
  <c r="D770" i="11" s="1"/>
  <c r="I770" i="11" s="1"/>
  <c r="C769" i="11"/>
  <c r="D769" i="11" s="1"/>
  <c r="C768" i="11"/>
  <c r="D768" i="11" s="1"/>
  <c r="E768" i="11" s="1"/>
  <c r="C767" i="11"/>
  <c r="D767" i="11" s="1"/>
  <c r="I767" i="11" s="1"/>
  <c r="C766" i="11"/>
  <c r="D766" i="11" s="1"/>
  <c r="G766" i="11" s="1"/>
  <c r="C765" i="11"/>
  <c r="D765" i="11" s="1"/>
  <c r="E765" i="11" s="1"/>
  <c r="C764" i="11"/>
  <c r="D764" i="11" s="1"/>
  <c r="I764" i="11" s="1"/>
  <c r="C758" i="11"/>
  <c r="D758" i="11" s="1"/>
  <c r="I758" i="11" s="1"/>
  <c r="C757" i="11"/>
  <c r="D757" i="11" s="1"/>
  <c r="G757" i="11" s="1"/>
  <c r="C756" i="11"/>
  <c r="D756" i="11" s="1"/>
  <c r="E756" i="11" s="1"/>
  <c r="C755" i="11"/>
  <c r="D755" i="11" s="1"/>
  <c r="I755" i="11" s="1"/>
  <c r="C754" i="11"/>
  <c r="D754" i="11" s="1"/>
  <c r="C753" i="11"/>
  <c r="D753" i="11" s="1"/>
  <c r="E753" i="11" s="1"/>
  <c r="C752" i="11"/>
  <c r="D752" i="11" s="1"/>
  <c r="I752" i="11" s="1"/>
  <c r="C751" i="11"/>
  <c r="D751" i="11" s="1"/>
  <c r="G751" i="11" s="1"/>
  <c r="C750" i="11"/>
  <c r="D750" i="11" s="1"/>
  <c r="E750" i="11" s="1"/>
  <c r="C749" i="11"/>
  <c r="D749" i="11" s="1"/>
  <c r="I749" i="11" s="1"/>
  <c r="C742" i="11"/>
  <c r="D742" i="11" s="1"/>
  <c r="C741" i="11"/>
  <c r="D741" i="11" s="1"/>
  <c r="I741" i="11" s="1"/>
  <c r="C740" i="11"/>
  <c r="D740" i="11" s="1"/>
  <c r="C739" i="11"/>
  <c r="D739" i="11" s="1"/>
  <c r="C738" i="11"/>
  <c r="D738" i="11" s="1"/>
  <c r="I738" i="11" s="1"/>
  <c r="C737" i="11"/>
  <c r="D737" i="11" s="1"/>
  <c r="C736" i="11"/>
  <c r="D736" i="11" s="1"/>
  <c r="C735" i="11"/>
  <c r="D735" i="11" s="1"/>
  <c r="I735" i="11" s="1"/>
  <c r="C734" i="11"/>
  <c r="D734" i="11" s="1"/>
  <c r="C733" i="11"/>
  <c r="D733" i="11" s="1"/>
  <c r="C728" i="11"/>
  <c r="D728" i="11" s="1"/>
  <c r="C727" i="11"/>
  <c r="D727" i="11" s="1"/>
  <c r="I727" i="11" s="1"/>
  <c r="C726" i="11"/>
  <c r="D726" i="11" s="1"/>
  <c r="C725" i="11"/>
  <c r="D725" i="11" s="1"/>
  <c r="C724" i="11"/>
  <c r="D724" i="11" s="1"/>
  <c r="I724" i="11" s="1"/>
  <c r="C723" i="11"/>
  <c r="D723" i="11" s="1"/>
  <c r="C722" i="11"/>
  <c r="D722" i="11" s="1"/>
  <c r="C721" i="11"/>
  <c r="D721" i="11" s="1"/>
  <c r="I721" i="11" s="1"/>
  <c r="C720" i="11"/>
  <c r="D720" i="11" s="1"/>
  <c r="C719" i="11"/>
  <c r="D719" i="11" s="1"/>
  <c r="C681" i="11"/>
  <c r="D681" i="11" s="1"/>
  <c r="C680" i="11"/>
  <c r="D680" i="11" s="1"/>
  <c r="C679" i="11"/>
  <c r="D679" i="11" s="1"/>
  <c r="I679" i="11" s="1"/>
  <c r="C678" i="11"/>
  <c r="D678" i="11" s="1"/>
  <c r="E678" i="11" s="1"/>
  <c r="C677" i="11"/>
  <c r="D677" i="11" s="1"/>
  <c r="C676" i="11"/>
  <c r="D676" i="11" s="1"/>
  <c r="I676" i="11" s="1"/>
  <c r="C675" i="11"/>
  <c r="D675" i="11" s="1"/>
  <c r="E675" i="11" s="1"/>
  <c r="C674" i="11"/>
  <c r="D674" i="11" s="1"/>
  <c r="C673" i="11"/>
  <c r="D673" i="11" s="1"/>
  <c r="I673" i="11" s="1"/>
  <c r="C672" i="11"/>
  <c r="D672" i="11" s="1"/>
  <c r="E672" i="11" s="1"/>
  <c r="C667" i="11"/>
  <c r="D667" i="11" s="1"/>
  <c r="E667" i="11" s="1"/>
  <c r="C666" i="11"/>
  <c r="D666" i="11" s="1"/>
  <c r="C665" i="11"/>
  <c r="D665" i="11" s="1"/>
  <c r="I665" i="11" s="1"/>
  <c r="C664" i="11"/>
  <c r="D664" i="11" s="1"/>
  <c r="E664" i="11" s="1"/>
  <c r="C663" i="11"/>
  <c r="D663" i="11" s="1"/>
  <c r="C662" i="11"/>
  <c r="D662" i="11" s="1"/>
  <c r="I662" i="11" s="1"/>
  <c r="C661" i="11"/>
  <c r="D661" i="11" s="1"/>
  <c r="E661" i="11" s="1"/>
  <c r="C660" i="11"/>
  <c r="D660" i="11" s="1"/>
  <c r="C659" i="11"/>
  <c r="D659" i="11" s="1"/>
  <c r="I659" i="11" s="1"/>
  <c r="C658" i="11"/>
  <c r="D658" i="11" s="1"/>
  <c r="E658" i="11" s="1"/>
  <c r="C620" i="11"/>
  <c r="D620" i="11" s="1"/>
  <c r="E620" i="11" s="1"/>
  <c r="J620" i="11" s="1"/>
  <c r="C619" i="11"/>
  <c r="D619" i="11" s="1"/>
  <c r="E619" i="11" s="1"/>
  <c r="C618" i="11"/>
  <c r="D618" i="11" s="1"/>
  <c r="E618" i="11" s="1"/>
  <c r="J618" i="11" s="1"/>
  <c r="C617" i="11"/>
  <c r="D617" i="11" s="1"/>
  <c r="E617" i="11" s="1"/>
  <c r="J617" i="11" s="1"/>
  <c r="C616" i="11"/>
  <c r="D616" i="11" s="1"/>
  <c r="E616" i="11" s="1"/>
  <c r="J616" i="11" s="1"/>
  <c r="C615" i="11"/>
  <c r="D615" i="11" s="1"/>
  <c r="E615" i="11" s="1"/>
  <c r="J615" i="11" s="1"/>
  <c r="C614" i="11"/>
  <c r="D614" i="11" s="1"/>
  <c r="E614" i="11" s="1"/>
  <c r="J614" i="11" s="1"/>
  <c r="C613" i="11"/>
  <c r="D613" i="11" s="1"/>
  <c r="E613" i="11" s="1"/>
  <c r="J613" i="11" s="1"/>
  <c r="C612" i="11"/>
  <c r="D612" i="11" s="1"/>
  <c r="E612" i="11" s="1"/>
  <c r="J612" i="11" s="1"/>
  <c r="C611" i="11"/>
  <c r="D611" i="11" s="1"/>
  <c r="E611" i="11" s="1"/>
  <c r="J611" i="11" s="1"/>
  <c r="C606" i="11"/>
  <c r="D606" i="11" s="1"/>
  <c r="C605" i="11"/>
  <c r="D605" i="11" s="1"/>
  <c r="I605" i="11" s="1"/>
  <c r="C604" i="11"/>
  <c r="D604" i="11" s="1"/>
  <c r="I604" i="11" s="1"/>
  <c r="C603" i="11"/>
  <c r="D603" i="11" s="1"/>
  <c r="C602" i="11"/>
  <c r="D602" i="11" s="1"/>
  <c r="I602" i="11" s="1"/>
  <c r="C601" i="11"/>
  <c r="D601" i="11" s="1"/>
  <c r="I601" i="11" s="1"/>
  <c r="C600" i="11"/>
  <c r="D600" i="11" s="1"/>
  <c r="C599" i="11"/>
  <c r="D599" i="11" s="1"/>
  <c r="I599" i="11" s="1"/>
  <c r="C598" i="11"/>
  <c r="D598" i="11" s="1"/>
  <c r="C597" i="11"/>
  <c r="D597" i="11" s="1"/>
  <c r="C111" i="12"/>
  <c r="C173" i="12"/>
  <c r="C579" i="11"/>
  <c r="D579" i="11" s="1"/>
  <c r="C578" i="11"/>
  <c r="D578" i="11" s="1"/>
  <c r="C577" i="11"/>
  <c r="D577" i="11" s="1"/>
  <c r="C576" i="11"/>
  <c r="D576" i="11" s="1"/>
  <c r="C575" i="11"/>
  <c r="D575" i="11" s="1"/>
  <c r="C574" i="11"/>
  <c r="D574" i="11" s="1"/>
  <c r="C573" i="11"/>
  <c r="D573" i="11" s="1"/>
  <c r="C572" i="11"/>
  <c r="D572" i="11" s="1"/>
  <c r="C571" i="11"/>
  <c r="D571" i="11" s="1"/>
  <c r="C570" i="11"/>
  <c r="D570" i="11" s="1"/>
  <c r="C565" i="11"/>
  <c r="D565" i="11" s="1"/>
  <c r="C564" i="11"/>
  <c r="D564" i="11" s="1"/>
  <c r="C563" i="11"/>
  <c r="D563" i="11" s="1"/>
  <c r="C562" i="11"/>
  <c r="D562" i="11" s="1"/>
  <c r="C561" i="11"/>
  <c r="D561" i="11" s="1"/>
  <c r="C560" i="11"/>
  <c r="D560" i="11" s="1"/>
  <c r="C559" i="11"/>
  <c r="D559" i="11" s="1"/>
  <c r="C558" i="11"/>
  <c r="D558" i="11" s="1"/>
  <c r="C557" i="11"/>
  <c r="D557" i="11" s="1"/>
  <c r="C556" i="11"/>
  <c r="D556" i="11" s="1"/>
  <c r="C549" i="11"/>
  <c r="C548" i="11"/>
  <c r="D548" i="11" s="1"/>
  <c r="C547" i="11"/>
  <c r="C546" i="11"/>
  <c r="C545" i="11"/>
  <c r="D545" i="11" s="1"/>
  <c r="C544" i="11"/>
  <c r="C543" i="11"/>
  <c r="C542" i="11"/>
  <c r="D542" i="11" s="1"/>
  <c r="C541" i="11"/>
  <c r="C540" i="11"/>
  <c r="C534" i="11"/>
  <c r="D534" i="11" s="1"/>
  <c r="C533" i="11"/>
  <c r="D533" i="11" s="1"/>
  <c r="C532" i="11"/>
  <c r="D532" i="11" s="1"/>
  <c r="C531" i="11"/>
  <c r="D531" i="11" s="1"/>
  <c r="C530" i="11"/>
  <c r="D530" i="11" s="1"/>
  <c r="C529" i="11"/>
  <c r="D529" i="11" s="1"/>
  <c r="C528" i="11"/>
  <c r="D528" i="11" s="1"/>
  <c r="C527" i="11"/>
  <c r="D527" i="11" s="1"/>
  <c r="C526" i="11"/>
  <c r="D526" i="11" s="1"/>
  <c r="C525" i="11"/>
  <c r="D525" i="11" s="1"/>
  <c r="C518" i="11"/>
  <c r="D518" i="11" s="1"/>
  <c r="F518" i="11" s="1"/>
  <c r="C517" i="11"/>
  <c r="D517" i="11" s="1"/>
  <c r="C516" i="11"/>
  <c r="D516" i="11" s="1"/>
  <c r="E516" i="11" s="1"/>
  <c r="C515" i="11"/>
  <c r="D515" i="11" s="1"/>
  <c r="F515" i="11" s="1"/>
  <c r="C514" i="11"/>
  <c r="D514" i="11" s="1"/>
  <c r="C513" i="11"/>
  <c r="D513" i="11" s="1"/>
  <c r="C512" i="11"/>
  <c r="D512" i="11" s="1"/>
  <c r="F512" i="11" s="1"/>
  <c r="C511" i="11"/>
  <c r="D511" i="11" s="1"/>
  <c r="C510" i="11"/>
  <c r="D510" i="11" s="1"/>
  <c r="C509" i="11"/>
  <c r="D509" i="11" s="1"/>
  <c r="G502" i="11"/>
  <c r="C502" i="11"/>
  <c r="G501" i="11"/>
  <c r="C501" i="11"/>
  <c r="D501" i="11" s="1"/>
  <c r="E501" i="11" s="1"/>
  <c r="G500" i="11"/>
  <c r="C500" i="11"/>
  <c r="D500" i="11" s="1"/>
  <c r="E500" i="11" s="1"/>
  <c r="G499" i="11"/>
  <c r="C499" i="11"/>
  <c r="D499" i="11" s="1"/>
  <c r="E499" i="11" s="1"/>
  <c r="G498" i="11"/>
  <c r="C498" i="11"/>
  <c r="D498" i="11" s="1"/>
  <c r="E498" i="11" s="1"/>
  <c r="G497" i="11"/>
  <c r="C497" i="11"/>
  <c r="D497" i="11" s="1"/>
  <c r="E497" i="11" s="1"/>
  <c r="G496" i="11"/>
  <c r="C496" i="11"/>
  <c r="G495" i="11"/>
  <c r="C495" i="11"/>
  <c r="D495" i="11" s="1"/>
  <c r="E495" i="11" s="1"/>
  <c r="G494" i="11"/>
  <c r="C494" i="11"/>
  <c r="D494" i="11" s="1"/>
  <c r="E494" i="11" s="1"/>
  <c r="G493" i="11"/>
  <c r="E493" i="11"/>
  <c r="D493" i="11"/>
  <c r="C493" i="11"/>
  <c r="C487" i="11"/>
  <c r="F487" i="11" s="1"/>
  <c r="C486" i="11"/>
  <c r="C485" i="11"/>
  <c r="F485" i="11" s="1"/>
  <c r="C484" i="11"/>
  <c r="F484" i="11" s="1"/>
  <c r="C483" i="11"/>
  <c r="D483" i="11" s="1"/>
  <c r="C482" i="11"/>
  <c r="D482" i="11" s="1"/>
  <c r="C481" i="11"/>
  <c r="F481" i="11" s="1"/>
  <c r="C480" i="11"/>
  <c r="D480" i="11" s="1"/>
  <c r="C479" i="11"/>
  <c r="D479" i="11" s="1"/>
  <c r="C478" i="11"/>
  <c r="D460" i="11"/>
  <c r="E460" i="11" s="1"/>
  <c r="F460" i="11" s="1"/>
  <c r="D459" i="11"/>
  <c r="E459" i="11" s="1"/>
  <c r="F459" i="11" s="1"/>
  <c r="D458" i="11"/>
  <c r="E458" i="11" s="1"/>
  <c r="F458" i="11" s="1"/>
  <c r="D457" i="11"/>
  <c r="E457" i="11" s="1"/>
  <c r="F457" i="11" s="1"/>
  <c r="D456" i="11"/>
  <c r="E456" i="11" s="1"/>
  <c r="F456" i="11" s="1"/>
  <c r="D455" i="11"/>
  <c r="E455" i="11" s="1"/>
  <c r="F455" i="11" s="1"/>
  <c r="D454" i="11"/>
  <c r="E454" i="11" s="1"/>
  <c r="F454" i="11" s="1"/>
  <c r="D453" i="11"/>
  <c r="E453" i="11" s="1"/>
  <c r="F453" i="11" s="1"/>
  <c r="D450" i="11"/>
  <c r="E450" i="11" s="1"/>
  <c r="F450" i="11" s="1"/>
  <c r="D449" i="11"/>
  <c r="E449" i="11" s="1"/>
  <c r="F449" i="11" s="1"/>
  <c r="D448" i="11"/>
  <c r="E448" i="11" s="1"/>
  <c r="F448" i="11" s="1"/>
  <c r="D447" i="11"/>
  <c r="E447" i="11" s="1"/>
  <c r="F447" i="11" s="1"/>
  <c r="D446" i="11"/>
  <c r="E446" i="11" s="1"/>
  <c r="F446" i="11" s="1"/>
  <c r="D445" i="11"/>
  <c r="E445" i="11" s="1"/>
  <c r="F445" i="11" s="1"/>
  <c r="D444" i="11"/>
  <c r="E444" i="11" s="1"/>
  <c r="F444" i="11" s="1"/>
  <c r="D443" i="11"/>
  <c r="E443" i="11" s="1"/>
  <c r="F443" i="11" s="1"/>
  <c r="D440" i="11"/>
  <c r="E440" i="11" s="1"/>
  <c r="F440" i="11" s="1"/>
  <c r="D439" i="11"/>
  <c r="E439" i="11" s="1"/>
  <c r="F439" i="11" s="1"/>
  <c r="D438" i="11"/>
  <c r="E438" i="11" s="1"/>
  <c r="F438" i="11" s="1"/>
  <c r="D437" i="11"/>
  <c r="E437" i="11" s="1"/>
  <c r="F437" i="11" s="1"/>
  <c r="D436" i="11"/>
  <c r="E436" i="11" s="1"/>
  <c r="F436" i="11" s="1"/>
  <c r="D435" i="11"/>
  <c r="E435" i="11" s="1"/>
  <c r="F435" i="11" s="1"/>
  <c r="D434" i="11"/>
  <c r="E434" i="11" s="1"/>
  <c r="F434" i="11" s="1"/>
  <c r="D433" i="11"/>
  <c r="E433" i="11" s="1"/>
  <c r="F433" i="11" s="1"/>
  <c r="D430" i="11"/>
  <c r="E430" i="11" s="1"/>
  <c r="F430" i="11" s="1"/>
  <c r="D429" i="11"/>
  <c r="E429" i="11" s="1"/>
  <c r="F429" i="11" s="1"/>
  <c r="D428" i="11"/>
  <c r="E428" i="11" s="1"/>
  <c r="F428" i="11" s="1"/>
  <c r="D427" i="11"/>
  <c r="E427" i="11" s="1"/>
  <c r="F427" i="11" s="1"/>
  <c r="D426" i="11"/>
  <c r="E426" i="11" s="1"/>
  <c r="F426" i="11" s="1"/>
  <c r="D425" i="11"/>
  <c r="E425" i="11" s="1"/>
  <c r="F425" i="11" s="1"/>
  <c r="D424" i="11"/>
  <c r="E424" i="11" s="1"/>
  <c r="F424" i="11" s="1"/>
  <c r="D423" i="11"/>
  <c r="E423" i="11" s="1"/>
  <c r="F423" i="11" s="1"/>
  <c r="D420" i="11"/>
  <c r="E420" i="11" s="1"/>
  <c r="F420" i="11" s="1"/>
  <c r="D419" i="11"/>
  <c r="E419" i="11" s="1"/>
  <c r="F419" i="11" s="1"/>
  <c r="D418" i="11"/>
  <c r="E418" i="11" s="1"/>
  <c r="F418" i="11" s="1"/>
  <c r="D417" i="11"/>
  <c r="E417" i="11" s="1"/>
  <c r="F417" i="11" s="1"/>
  <c r="D416" i="11"/>
  <c r="E416" i="11" s="1"/>
  <c r="F416" i="11" s="1"/>
  <c r="D415" i="11"/>
  <c r="E415" i="11" s="1"/>
  <c r="F415" i="11" s="1"/>
  <c r="D414" i="11"/>
  <c r="E414" i="11" s="1"/>
  <c r="F414" i="11" s="1"/>
  <c r="D413" i="11"/>
  <c r="E413" i="11" s="1"/>
  <c r="F413" i="11" s="1"/>
  <c r="D410" i="11"/>
  <c r="E410" i="11" s="1"/>
  <c r="F410" i="11" s="1"/>
  <c r="D409" i="11"/>
  <c r="E409" i="11" s="1"/>
  <c r="F409" i="11" s="1"/>
  <c r="D408" i="11"/>
  <c r="E408" i="11" s="1"/>
  <c r="F408" i="11" s="1"/>
  <c r="D407" i="11"/>
  <c r="E407" i="11" s="1"/>
  <c r="F407" i="11" s="1"/>
  <c r="D406" i="11"/>
  <c r="E406" i="11" s="1"/>
  <c r="F406" i="11" s="1"/>
  <c r="D405" i="11"/>
  <c r="E405" i="11" s="1"/>
  <c r="F405" i="11" s="1"/>
  <c r="D404" i="11"/>
  <c r="E404" i="11" s="1"/>
  <c r="F404" i="11" s="1"/>
  <c r="D403" i="11"/>
  <c r="E403" i="11" s="1"/>
  <c r="F403" i="11" s="1"/>
  <c r="F322" i="11"/>
  <c r="D323" i="11"/>
  <c r="E323" i="11" s="1"/>
  <c r="F323" i="11" s="1"/>
  <c r="D324" i="11"/>
  <c r="E324" i="11" s="1"/>
  <c r="F324" i="11" s="1"/>
  <c r="D325" i="11"/>
  <c r="E325" i="11" s="1"/>
  <c r="F325" i="11" s="1"/>
  <c r="D326" i="11"/>
  <c r="E326" i="11" s="1"/>
  <c r="F326" i="11" s="1"/>
  <c r="D327" i="11"/>
  <c r="E327" i="11" s="1"/>
  <c r="F327" i="11" s="1"/>
  <c r="D328" i="11"/>
  <c r="E328" i="11" s="1"/>
  <c r="F328" i="11" s="1"/>
  <c r="E331" i="11"/>
  <c r="F331" i="11" s="1"/>
  <c r="D332" i="11"/>
  <c r="E332" i="11" s="1"/>
  <c r="F332" i="11" s="1"/>
  <c r="D333" i="11"/>
  <c r="E333" i="11" s="1"/>
  <c r="F333" i="11" s="1"/>
  <c r="D334" i="11"/>
  <c r="E334" i="11" s="1"/>
  <c r="F334" i="11" s="1"/>
  <c r="D335" i="11"/>
  <c r="E335" i="11" s="1"/>
  <c r="F335" i="11" s="1"/>
  <c r="D336" i="11"/>
  <c r="E336" i="11" s="1"/>
  <c r="F336" i="11" s="1"/>
  <c r="D337" i="11"/>
  <c r="E337" i="11" s="1"/>
  <c r="F337" i="11" s="1"/>
  <c r="D338" i="11"/>
  <c r="E338" i="11" s="1"/>
  <c r="F338" i="11" s="1"/>
  <c r="D341" i="11"/>
  <c r="E341" i="11" s="1"/>
  <c r="F341" i="11" s="1"/>
  <c r="D342" i="11"/>
  <c r="E342" i="11" s="1"/>
  <c r="F342" i="11" s="1"/>
  <c r="D343" i="11"/>
  <c r="E343" i="11" s="1"/>
  <c r="F343" i="11" s="1"/>
  <c r="D344" i="11"/>
  <c r="E344" i="11" s="1"/>
  <c r="F344" i="11" s="1"/>
  <c r="D345" i="11"/>
  <c r="E345" i="11" s="1"/>
  <c r="F345" i="11" s="1"/>
  <c r="D346" i="11"/>
  <c r="E346" i="11" s="1"/>
  <c r="F346" i="11" s="1"/>
  <c r="D347" i="11"/>
  <c r="E347" i="11" s="1"/>
  <c r="F347" i="11" s="1"/>
  <c r="D348" i="11"/>
  <c r="E348" i="11" s="1"/>
  <c r="F348" i="11" s="1"/>
  <c r="D351" i="11"/>
  <c r="E351" i="11" s="1"/>
  <c r="F351" i="11" s="1"/>
  <c r="D352" i="11"/>
  <c r="E352" i="11" s="1"/>
  <c r="F352" i="11" s="1"/>
  <c r="D353" i="11"/>
  <c r="E353" i="11" s="1"/>
  <c r="F353" i="11" s="1"/>
  <c r="D354" i="11"/>
  <c r="E354" i="11" s="1"/>
  <c r="F354" i="11" s="1"/>
  <c r="D355" i="11"/>
  <c r="E355" i="11" s="1"/>
  <c r="F355" i="11" s="1"/>
  <c r="D356" i="11"/>
  <c r="E356" i="11" s="1"/>
  <c r="F356" i="11" s="1"/>
  <c r="D357" i="11"/>
  <c r="E357" i="11" s="1"/>
  <c r="F357" i="11" s="1"/>
  <c r="D358" i="11"/>
  <c r="E358" i="11" s="1"/>
  <c r="F358" i="11" s="1"/>
  <c r="D361" i="11"/>
  <c r="E361" i="11" s="1"/>
  <c r="F361" i="11" s="1"/>
  <c r="D362" i="11"/>
  <c r="E362" i="11" s="1"/>
  <c r="F362" i="11" s="1"/>
  <c r="D363" i="11"/>
  <c r="E363" i="11" s="1"/>
  <c r="F363" i="11" s="1"/>
  <c r="D364" i="11"/>
  <c r="E364" i="11" s="1"/>
  <c r="F364" i="11" s="1"/>
  <c r="D365" i="11"/>
  <c r="E365" i="11" s="1"/>
  <c r="F365" i="11" s="1"/>
  <c r="D366" i="11"/>
  <c r="E366" i="11" s="1"/>
  <c r="F366" i="11" s="1"/>
  <c r="D367" i="11"/>
  <c r="E367" i="11" s="1"/>
  <c r="F367" i="11" s="1"/>
  <c r="D368" i="11"/>
  <c r="E368" i="11" s="1"/>
  <c r="F368" i="11" s="1"/>
  <c r="D371" i="11"/>
  <c r="E371" i="11" s="1"/>
  <c r="F371" i="11" s="1"/>
  <c r="D372" i="11"/>
  <c r="E372" i="11" s="1"/>
  <c r="F372" i="11" s="1"/>
  <c r="D373" i="11"/>
  <c r="E373" i="11" s="1"/>
  <c r="F373" i="11" s="1"/>
  <c r="D374" i="11"/>
  <c r="E374" i="11" s="1"/>
  <c r="F374" i="11" s="1"/>
  <c r="D375" i="11"/>
  <c r="E375" i="11" s="1"/>
  <c r="F375" i="11" s="1"/>
  <c r="D376" i="11"/>
  <c r="E376" i="11" s="1"/>
  <c r="F376" i="11" s="1"/>
  <c r="D377" i="11"/>
  <c r="E377" i="11" s="1"/>
  <c r="F377" i="11" s="1"/>
  <c r="D378" i="11"/>
  <c r="E378" i="11" s="1"/>
  <c r="F378" i="11" s="1"/>
  <c r="G384" i="11"/>
  <c r="H384" i="11"/>
  <c r="G385" i="11"/>
  <c r="H385" i="11"/>
  <c r="G386" i="11"/>
  <c r="H386" i="11"/>
  <c r="G387" i="11"/>
  <c r="H387" i="11"/>
  <c r="G388" i="11"/>
  <c r="H388" i="11"/>
  <c r="G389" i="11"/>
  <c r="H389" i="11"/>
  <c r="G390" i="11"/>
  <c r="H390" i="11"/>
  <c r="G391" i="11"/>
  <c r="H391" i="11"/>
  <c r="G392" i="11"/>
  <c r="H392" i="11"/>
  <c r="G393" i="11"/>
  <c r="H393" i="11"/>
  <c r="G394" i="11"/>
  <c r="H394" i="11"/>
  <c r="G395" i="11"/>
  <c r="H395" i="11"/>
  <c r="C384" i="11"/>
  <c r="D384" i="11" s="1"/>
  <c r="C385" i="11"/>
  <c r="D385" i="11" s="1"/>
  <c r="C386" i="11"/>
  <c r="D386" i="11" s="1"/>
  <c r="C387" i="11"/>
  <c r="D387" i="11" s="1"/>
  <c r="C388" i="11"/>
  <c r="D388" i="11" s="1"/>
  <c r="C389" i="11"/>
  <c r="D389" i="11" s="1"/>
  <c r="C390" i="11"/>
  <c r="D390" i="11" s="1"/>
  <c r="C156" i="11"/>
  <c r="C155" i="11"/>
  <c r="C124" i="11"/>
  <c r="D124" i="11" s="1"/>
  <c r="F109" i="11"/>
  <c r="F110" i="11"/>
  <c r="F111" i="11"/>
  <c r="F112" i="11"/>
  <c r="F113" i="11"/>
  <c r="F114" i="11"/>
  <c r="F115" i="11"/>
  <c r="F116" i="11"/>
  <c r="F117" i="11"/>
  <c r="F118" i="11"/>
  <c r="F108" i="11"/>
  <c r="G98" i="11"/>
  <c r="G97" i="11"/>
  <c r="G96" i="11"/>
  <c r="C95" i="11" s="1"/>
  <c r="G95" i="11"/>
  <c r="C94" i="11" s="1"/>
  <c r="I77" i="11"/>
  <c r="I78" i="11"/>
  <c r="I81" i="11"/>
  <c r="I82" i="11"/>
  <c r="F73" i="11"/>
  <c r="C72" i="6"/>
  <c r="C73" i="6"/>
  <c r="C74" i="6"/>
  <c r="B16" i="11" l="1"/>
  <c r="G527" i="11"/>
  <c r="E527" i="11"/>
  <c r="F527" i="11"/>
  <c r="G530" i="11"/>
  <c r="E530" i="11"/>
  <c r="F530" i="11"/>
  <c r="G533" i="11"/>
  <c r="E533" i="11"/>
  <c r="F533" i="11"/>
  <c r="F556" i="11"/>
  <c r="G556" i="11"/>
  <c r="F559" i="11"/>
  <c r="G559" i="11"/>
  <c r="E559" i="11"/>
  <c r="F562" i="11"/>
  <c r="G562" i="11"/>
  <c r="E562" i="11"/>
  <c r="F565" i="11"/>
  <c r="G565" i="11"/>
  <c r="E565" i="11"/>
  <c r="F572" i="11"/>
  <c r="E572" i="11"/>
  <c r="G572" i="11"/>
  <c r="F575" i="11"/>
  <c r="E575" i="11"/>
  <c r="G575" i="11"/>
  <c r="F578" i="11"/>
  <c r="E578" i="11"/>
  <c r="G578" i="11"/>
  <c r="F478" i="11"/>
  <c r="D478" i="11"/>
  <c r="E525" i="11"/>
  <c r="G525" i="11"/>
  <c r="F525" i="11"/>
  <c r="G528" i="11"/>
  <c r="F528" i="11"/>
  <c r="E528" i="11"/>
  <c r="G531" i="11"/>
  <c r="F531" i="11"/>
  <c r="E531" i="11"/>
  <c r="G534" i="11"/>
  <c r="F534" i="11"/>
  <c r="E534" i="11"/>
  <c r="E542" i="11"/>
  <c r="G542" i="11"/>
  <c r="F542" i="11"/>
  <c r="E545" i="11"/>
  <c r="G545" i="11"/>
  <c r="F545" i="11"/>
  <c r="E548" i="11"/>
  <c r="G548" i="11"/>
  <c r="F548" i="11"/>
  <c r="F557" i="11"/>
  <c r="G557" i="11"/>
  <c r="E557" i="11"/>
  <c r="F560" i="11"/>
  <c r="G560" i="11"/>
  <c r="E560" i="11"/>
  <c r="F563" i="11"/>
  <c r="G563" i="11"/>
  <c r="E563" i="11"/>
  <c r="I570" i="11"/>
  <c r="F570" i="11"/>
  <c r="E570" i="11"/>
  <c r="G570" i="11"/>
  <c r="F573" i="11"/>
  <c r="E573" i="11"/>
  <c r="G573" i="11"/>
  <c r="F576" i="11"/>
  <c r="E576" i="11"/>
  <c r="G576" i="11"/>
  <c r="I579" i="11"/>
  <c r="F579" i="11"/>
  <c r="E579" i="11"/>
  <c r="G579" i="11"/>
  <c r="G597" i="11"/>
  <c r="I597" i="11"/>
  <c r="G600" i="11"/>
  <c r="I600" i="11"/>
  <c r="G603" i="11"/>
  <c r="I603" i="11"/>
  <c r="G606" i="11"/>
  <c r="I606" i="11"/>
  <c r="F619" i="11"/>
  <c r="J619" i="11"/>
  <c r="G526" i="11"/>
  <c r="E526" i="11"/>
  <c r="F526" i="11"/>
  <c r="G529" i="11"/>
  <c r="E529" i="11"/>
  <c r="F529" i="11"/>
  <c r="G532" i="11"/>
  <c r="E532" i="11"/>
  <c r="F532" i="11"/>
  <c r="F558" i="11"/>
  <c r="G558" i="11"/>
  <c r="E558" i="11"/>
  <c r="F561" i="11"/>
  <c r="G561" i="11"/>
  <c r="E561" i="11"/>
  <c r="F564" i="11"/>
  <c r="G564" i="11"/>
  <c r="E564" i="11"/>
  <c r="F571" i="11"/>
  <c r="E571" i="11"/>
  <c r="G571" i="11"/>
  <c r="F574" i="11"/>
  <c r="E574" i="11"/>
  <c r="G574" i="11"/>
  <c r="F577" i="11"/>
  <c r="E577" i="11"/>
  <c r="G577" i="11"/>
  <c r="E598" i="11"/>
  <c r="I598" i="11"/>
  <c r="I672" i="11"/>
  <c r="I667" i="11"/>
  <c r="F764" i="11"/>
  <c r="F767" i="11"/>
  <c r="F770" i="11"/>
  <c r="I658" i="11"/>
  <c r="F749" i="11"/>
  <c r="F752" i="11"/>
  <c r="F755" i="11"/>
  <c r="F758" i="11"/>
  <c r="I754" i="11"/>
  <c r="F754" i="11"/>
  <c r="E754" i="11"/>
  <c r="I769" i="11"/>
  <c r="F769" i="11"/>
  <c r="E769" i="11"/>
  <c r="G754" i="11"/>
  <c r="G769" i="11"/>
  <c r="I751" i="11"/>
  <c r="F751" i="11"/>
  <c r="E751" i="11"/>
  <c r="I757" i="11"/>
  <c r="F757" i="11"/>
  <c r="E757" i="11"/>
  <c r="I766" i="11"/>
  <c r="F766" i="11"/>
  <c r="E766" i="11"/>
  <c r="E749" i="11"/>
  <c r="G749" i="11"/>
  <c r="G750" i="11"/>
  <c r="I750" i="11"/>
  <c r="F750" i="11"/>
  <c r="E752" i="11"/>
  <c r="G752" i="11"/>
  <c r="G753" i="11"/>
  <c r="I753" i="11"/>
  <c r="F753" i="11"/>
  <c r="E755" i="11"/>
  <c r="G755" i="11"/>
  <c r="G756" i="11"/>
  <c r="I756" i="11"/>
  <c r="F756" i="11"/>
  <c r="E758" i="11"/>
  <c r="G758" i="11"/>
  <c r="E764" i="11"/>
  <c r="G764" i="11"/>
  <c r="G765" i="11"/>
  <c r="I765" i="11"/>
  <c r="F765" i="11"/>
  <c r="E767" i="11"/>
  <c r="G767" i="11"/>
  <c r="G768" i="11"/>
  <c r="I768" i="11"/>
  <c r="F768" i="11"/>
  <c r="E770" i="11"/>
  <c r="G770" i="11"/>
  <c r="G771" i="11"/>
  <c r="F771" i="11"/>
  <c r="E771" i="11"/>
  <c r="I771" i="11"/>
  <c r="E773" i="11"/>
  <c r="G773" i="11"/>
  <c r="I773" i="11"/>
  <c r="F773" i="11"/>
  <c r="G772" i="11"/>
  <c r="E772" i="11"/>
  <c r="F772" i="11"/>
  <c r="I720" i="11"/>
  <c r="E720" i="11"/>
  <c r="F720" i="11" s="1"/>
  <c r="G720" i="11" s="1"/>
  <c r="I661" i="11"/>
  <c r="I678" i="11"/>
  <c r="E725" i="11"/>
  <c r="I725" i="11"/>
  <c r="E734" i="11"/>
  <c r="I734" i="11"/>
  <c r="E726" i="11"/>
  <c r="I726" i="11"/>
  <c r="E728" i="11"/>
  <c r="I728" i="11"/>
  <c r="I737" i="11"/>
  <c r="E737" i="11"/>
  <c r="E739" i="11"/>
  <c r="I739" i="11"/>
  <c r="E723" i="11"/>
  <c r="I723" i="11"/>
  <c r="E736" i="11"/>
  <c r="I736" i="11"/>
  <c r="E719" i="11"/>
  <c r="I719" i="11"/>
  <c r="E722" i="11"/>
  <c r="I722" i="11"/>
  <c r="E733" i="11"/>
  <c r="I733" i="11"/>
  <c r="E740" i="11"/>
  <c r="I740" i="11"/>
  <c r="E742" i="11"/>
  <c r="I742" i="11"/>
  <c r="E721" i="11"/>
  <c r="E724" i="11"/>
  <c r="E727" i="11"/>
  <c r="E735" i="11"/>
  <c r="E738" i="11"/>
  <c r="E741" i="11"/>
  <c r="I664" i="11"/>
  <c r="I675" i="11"/>
  <c r="E681" i="11"/>
  <c r="I681" i="11"/>
  <c r="F658" i="11"/>
  <c r="G658" i="11" s="1"/>
  <c r="E659" i="11"/>
  <c r="I660" i="11"/>
  <c r="E660" i="11"/>
  <c r="F661" i="11"/>
  <c r="G661" i="11" s="1"/>
  <c r="E662" i="11"/>
  <c r="I663" i="11"/>
  <c r="E663" i="11"/>
  <c r="F664" i="11"/>
  <c r="G664" i="11" s="1"/>
  <c r="E665" i="11"/>
  <c r="I666" i="11"/>
  <c r="E666" i="11"/>
  <c r="F667" i="11"/>
  <c r="G667" i="11" s="1"/>
  <c r="F672" i="11"/>
  <c r="G672" i="11" s="1"/>
  <c r="E673" i="11"/>
  <c r="I674" i="11"/>
  <c r="E674" i="11"/>
  <c r="F675" i="11"/>
  <c r="G675" i="11" s="1"/>
  <c r="E676" i="11"/>
  <c r="I677" i="11"/>
  <c r="E677" i="11"/>
  <c r="F678" i="11"/>
  <c r="G678" i="11" s="1"/>
  <c r="E679" i="11"/>
  <c r="I680" i="11"/>
  <c r="E680" i="11"/>
  <c r="G617" i="11"/>
  <c r="G612" i="11"/>
  <c r="F612" i="11"/>
  <c r="H612" i="11"/>
  <c r="G615" i="11"/>
  <c r="F615" i="11"/>
  <c r="H615" i="11"/>
  <c r="G602" i="11"/>
  <c r="F602" i="11"/>
  <c r="F611" i="11"/>
  <c r="H611" i="11"/>
  <c r="H613" i="11"/>
  <c r="G613" i="11"/>
  <c r="G618" i="11"/>
  <c r="F618" i="11"/>
  <c r="F620" i="11"/>
  <c r="H620" i="11"/>
  <c r="F597" i="11"/>
  <c r="F598" i="11"/>
  <c r="G599" i="11"/>
  <c r="F599" i="11"/>
  <c r="E601" i="11"/>
  <c r="G601" i="11"/>
  <c r="E604" i="11"/>
  <c r="G604" i="11"/>
  <c r="G605" i="11"/>
  <c r="F605" i="11"/>
  <c r="G611" i="11"/>
  <c r="F613" i="11"/>
  <c r="F614" i="11"/>
  <c r="H614" i="11"/>
  <c r="H616" i="11"/>
  <c r="G616" i="11"/>
  <c r="H618" i="11"/>
  <c r="G620" i="11"/>
  <c r="E597" i="11"/>
  <c r="G598" i="11"/>
  <c r="E599" i="11"/>
  <c r="F600" i="11"/>
  <c r="E600" i="11"/>
  <c r="F601" i="11"/>
  <c r="E602" i="11"/>
  <c r="F603" i="11"/>
  <c r="E603" i="11"/>
  <c r="F604" i="11"/>
  <c r="E605" i="11"/>
  <c r="F606" i="11"/>
  <c r="E606" i="11"/>
  <c r="G614" i="11"/>
  <c r="F616" i="11"/>
  <c r="F617" i="11"/>
  <c r="H617" i="11"/>
  <c r="H619" i="11"/>
  <c r="G619" i="11"/>
  <c r="I576" i="11"/>
  <c r="I557" i="11"/>
  <c r="F479" i="11"/>
  <c r="I562" i="11"/>
  <c r="I565" i="11"/>
  <c r="E556" i="11"/>
  <c r="I556" i="11"/>
  <c r="I559" i="11"/>
  <c r="I561" i="11"/>
  <c r="I560" i="11"/>
  <c r="I564" i="11"/>
  <c r="I577" i="11"/>
  <c r="I578" i="11"/>
  <c r="I571" i="11"/>
  <c r="I572" i="11"/>
  <c r="I558" i="11"/>
  <c r="I563" i="11"/>
  <c r="I573" i="11"/>
  <c r="I574" i="11"/>
  <c r="I575" i="11"/>
  <c r="I532" i="11"/>
  <c r="I526" i="11"/>
  <c r="I531" i="11"/>
  <c r="I528" i="11"/>
  <c r="I529" i="11"/>
  <c r="I533" i="11"/>
  <c r="D540" i="11"/>
  <c r="D541" i="11"/>
  <c r="I530" i="11"/>
  <c r="I525" i="11"/>
  <c r="I527" i="11"/>
  <c r="I534" i="11"/>
  <c r="I542" i="11"/>
  <c r="D543" i="11"/>
  <c r="I545" i="11"/>
  <c r="D546" i="11"/>
  <c r="I548" i="11"/>
  <c r="D549" i="11"/>
  <c r="D544" i="11"/>
  <c r="D547" i="11"/>
  <c r="F482" i="11"/>
  <c r="D485" i="11"/>
  <c r="D502" i="11"/>
  <c r="E502" i="11" s="1"/>
  <c r="G503" i="11"/>
  <c r="D496" i="11"/>
  <c r="E496" i="11" s="1"/>
  <c r="F499" i="11"/>
  <c r="H486" i="11"/>
  <c r="E486" i="11"/>
  <c r="E509" i="11"/>
  <c r="G509" i="11"/>
  <c r="G510" i="11"/>
  <c r="I510" i="11"/>
  <c r="F510" i="11"/>
  <c r="G513" i="11"/>
  <c r="I513" i="11"/>
  <c r="F513" i="11"/>
  <c r="H478" i="11"/>
  <c r="E478" i="11"/>
  <c r="H481" i="11"/>
  <c r="E481" i="11"/>
  <c r="H484" i="11"/>
  <c r="E484" i="11"/>
  <c r="D486" i="11"/>
  <c r="H487" i="11"/>
  <c r="E487" i="11"/>
  <c r="F495" i="11"/>
  <c r="F498" i="11"/>
  <c r="F501" i="11"/>
  <c r="F509" i="11"/>
  <c r="E510" i="11"/>
  <c r="I511" i="11"/>
  <c r="F511" i="11"/>
  <c r="E511" i="11"/>
  <c r="E513" i="11"/>
  <c r="I514" i="11"/>
  <c r="F514" i="11"/>
  <c r="E514" i="11"/>
  <c r="I517" i="11"/>
  <c r="F517" i="11"/>
  <c r="E517" i="11"/>
  <c r="H480" i="11"/>
  <c r="E480" i="11"/>
  <c r="H483" i="11"/>
  <c r="E483" i="11"/>
  <c r="E512" i="11"/>
  <c r="G512" i="11"/>
  <c r="E515" i="11"/>
  <c r="G515" i="11"/>
  <c r="G516" i="11"/>
  <c r="I516" i="11"/>
  <c r="F516" i="11"/>
  <c r="E518" i="11"/>
  <c r="G518" i="11"/>
  <c r="H479" i="11"/>
  <c r="E479" i="11"/>
  <c r="F480" i="11"/>
  <c r="D481" i="11"/>
  <c r="H482" i="11"/>
  <c r="E482" i="11"/>
  <c r="F483" i="11"/>
  <c r="D484" i="11"/>
  <c r="H485" i="11"/>
  <c r="E485" i="11"/>
  <c r="F486" i="11"/>
  <c r="D487" i="11"/>
  <c r="F493" i="11"/>
  <c r="I509" i="11"/>
  <c r="G511" i="11"/>
  <c r="I512" i="11"/>
  <c r="G514" i="11"/>
  <c r="I515" i="11"/>
  <c r="G517" i="11"/>
  <c r="I518" i="11"/>
  <c r="F494" i="11"/>
  <c r="F497" i="11"/>
  <c r="F500" i="11"/>
  <c r="I389" i="11"/>
  <c r="I390" i="11"/>
  <c r="I387" i="11"/>
  <c r="I384" i="11"/>
  <c r="I386" i="11"/>
  <c r="I388" i="11"/>
  <c r="I385" i="11"/>
  <c r="F119" i="11"/>
  <c r="C75" i="6"/>
  <c r="H563" i="11" l="1"/>
  <c r="G478" i="11"/>
  <c r="H597" i="11"/>
  <c r="E549" i="11"/>
  <c r="G549" i="11"/>
  <c r="F549" i="11"/>
  <c r="E547" i="11"/>
  <c r="G547" i="11"/>
  <c r="F547" i="11"/>
  <c r="E543" i="11"/>
  <c r="G543" i="11"/>
  <c r="F543" i="11"/>
  <c r="E541" i="11"/>
  <c r="G541" i="11"/>
  <c r="F541" i="11"/>
  <c r="E544" i="11"/>
  <c r="G544" i="11"/>
  <c r="F544" i="11"/>
  <c r="E546" i="11"/>
  <c r="G546" i="11"/>
  <c r="F546" i="11"/>
  <c r="E540" i="11"/>
  <c r="G540" i="11"/>
  <c r="F540" i="11"/>
  <c r="H750" i="11"/>
  <c r="H766" i="11"/>
  <c r="H757" i="11"/>
  <c r="H751" i="11"/>
  <c r="G479" i="11"/>
  <c r="H765" i="11"/>
  <c r="H753" i="11"/>
  <c r="I759" i="11"/>
  <c r="I729" i="11"/>
  <c r="H772" i="11"/>
  <c r="H768" i="11"/>
  <c r="I774" i="11"/>
  <c r="H764" i="11"/>
  <c r="H756" i="11"/>
  <c r="H752" i="11"/>
  <c r="H771" i="11"/>
  <c r="H767" i="11"/>
  <c r="H755" i="11"/>
  <c r="H773" i="11"/>
  <c r="H770" i="11"/>
  <c r="H758" i="11"/>
  <c r="H749" i="11"/>
  <c r="H769" i="11"/>
  <c r="H754" i="11"/>
  <c r="I619" i="11"/>
  <c r="H603" i="11"/>
  <c r="F736" i="11"/>
  <c r="G736" i="11" s="1"/>
  <c r="F734" i="11"/>
  <c r="G734" i="11" s="1"/>
  <c r="F735" i="11"/>
  <c r="G735" i="11" s="1"/>
  <c r="F721" i="11"/>
  <c r="G721" i="11" s="1"/>
  <c r="F742" i="11"/>
  <c r="G742" i="11" s="1"/>
  <c r="I743" i="11"/>
  <c r="F722" i="11"/>
  <c r="G722" i="11" s="1"/>
  <c r="F719" i="11"/>
  <c r="G719" i="11" s="1"/>
  <c r="F739" i="11"/>
  <c r="G739" i="11" s="1"/>
  <c r="F726" i="11"/>
  <c r="G726" i="11" s="1"/>
  <c r="F738" i="11"/>
  <c r="G738" i="11" s="1"/>
  <c r="F724" i="11"/>
  <c r="G724" i="11" s="1"/>
  <c r="F740" i="11"/>
  <c r="G740" i="11" s="1"/>
  <c r="F741" i="11"/>
  <c r="G741" i="11" s="1"/>
  <c r="F727" i="11"/>
  <c r="G727" i="11" s="1"/>
  <c r="F733" i="11"/>
  <c r="G733" i="11" s="1"/>
  <c r="H720" i="11"/>
  <c r="F723" i="11"/>
  <c r="G723" i="11" s="1"/>
  <c r="F737" i="11"/>
  <c r="G737" i="11" s="1"/>
  <c r="F728" i="11"/>
  <c r="G728" i="11" s="1"/>
  <c r="F725" i="11"/>
  <c r="G725" i="11" s="1"/>
  <c r="I682" i="11"/>
  <c r="H672" i="11"/>
  <c r="I668" i="11"/>
  <c r="H661" i="11"/>
  <c r="F680" i="11"/>
  <c r="G680" i="11" s="1"/>
  <c r="F676" i="11"/>
  <c r="G676" i="11" s="1"/>
  <c r="F665" i="11"/>
  <c r="G665" i="11" s="1"/>
  <c r="F660" i="11"/>
  <c r="G660" i="11" s="1"/>
  <c r="F681" i="11"/>
  <c r="G681" i="11" s="1"/>
  <c r="F677" i="11"/>
  <c r="G677" i="11" s="1"/>
  <c r="F673" i="11"/>
  <c r="G673" i="11" s="1"/>
  <c r="F666" i="11"/>
  <c r="G666" i="11" s="1"/>
  <c r="F662" i="11"/>
  <c r="G662" i="11" s="1"/>
  <c r="H678" i="11"/>
  <c r="H667" i="11"/>
  <c r="H658" i="11"/>
  <c r="F679" i="11"/>
  <c r="G679" i="11" s="1"/>
  <c r="F674" i="11"/>
  <c r="G674" i="11" s="1"/>
  <c r="F663" i="11"/>
  <c r="G663" i="11" s="1"/>
  <c r="F659" i="11"/>
  <c r="G659" i="11" s="1"/>
  <c r="H675" i="11"/>
  <c r="H664" i="11"/>
  <c r="I617" i="11"/>
  <c r="H602" i="11"/>
  <c r="I613" i="11"/>
  <c r="H604" i="11"/>
  <c r="H598" i="11"/>
  <c r="I611" i="11"/>
  <c r="H606" i="11"/>
  <c r="H605" i="11"/>
  <c r="J621" i="11"/>
  <c r="I616" i="11"/>
  <c r="I620" i="11"/>
  <c r="I615" i="11"/>
  <c r="H600" i="11"/>
  <c r="H599" i="11"/>
  <c r="I614" i="11"/>
  <c r="H601" i="11"/>
  <c r="I607" i="11"/>
  <c r="I618" i="11"/>
  <c r="I612" i="11"/>
  <c r="H577" i="11"/>
  <c r="H575" i="11"/>
  <c r="H574" i="11"/>
  <c r="I580" i="11"/>
  <c r="H572" i="11"/>
  <c r="H571" i="11"/>
  <c r="H561" i="11"/>
  <c r="H559" i="11"/>
  <c r="H558" i="11"/>
  <c r="H557" i="11"/>
  <c r="H528" i="11"/>
  <c r="H564" i="11"/>
  <c r="H578" i="11"/>
  <c r="H560" i="11"/>
  <c r="H556" i="11"/>
  <c r="H570" i="11"/>
  <c r="H565" i="11"/>
  <c r="H576" i="11"/>
  <c r="H573" i="11"/>
  <c r="H579" i="11"/>
  <c r="I566" i="11"/>
  <c r="H562" i="11"/>
  <c r="H542" i="11"/>
  <c r="H525" i="11"/>
  <c r="H530" i="11"/>
  <c r="G482" i="11"/>
  <c r="H527" i="11"/>
  <c r="H534" i="11"/>
  <c r="H526" i="11"/>
  <c r="H548" i="11"/>
  <c r="H533" i="11"/>
  <c r="H531" i="11"/>
  <c r="H532" i="11"/>
  <c r="I544" i="11"/>
  <c r="I546" i="11"/>
  <c r="I541" i="11"/>
  <c r="I549" i="11"/>
  <c r="H529" i="11"/>
  <c r="I547" i="11"/>
  <c r="H545" i="11"/>
  <c r="I543" i="11"/>
  <c r="I535" i="11"/>
  <c r="I540" i="11"/>
  <c r="G485" i="11"/>
  <c r="G487" i="11"/>
  <c r="H516" i="11"/>
  <c r="H512" i="11"/>
  <c r="G480" i="11"/>
  <c r="H510" i="11"/>
  <c r="H509" i="11"/>
  <c r="F496" i="11"/>
  <c r="G484" i="11"/>
  <c r="G483" i="11"/>
  <c r="F502" i="11"/>
  <c r="H511" i="11"/>
  <c r="I519" i="11"/>
  <c r="H515" i="11"/>
  <c r="G486" i="11"/>
  <c r="H488" i="11"/>
  <c r="G481" i="11"/>
  <c r="H518" i="11"/>
  <c r="H517" i="11"/>
  <c r="H514" i="11"/>
  <c r="H513" i="11"/>
  <c r="F503" i="11" l="1"/>
  <c r="C468" i="11"/>
  <c r="C589" i="11"/>
  <c r="C470" i="11"/>
  <c r="C588" i="11"/>
  <c r="H721" i="11"/>
  <c r="H677" i="11"/>
  <c r="H724" i="11"/>
  <c r="H719" i="11"/>
  <c r="H733" i="11"/>
  <c r="H774" i="11"/>
  <c r="H665" i="11"/>
  <c r="H680" i="11"/>
  <c r="H727" i="11"/>
  <c r="H759" i="11"/>
  <c r="H681" i="11"/>
  <c r="H734" i="11"/>
  <c r="H659" i="11"/>
  <c r="H674" i="11"/>
  <c r="H662" i="11"/>
  <c r="H673" i="11"/>
  <c r="H660" i="11"/>
  <c r="H725" i="11"/>
  <c r="H737" i="11"/>
  <c r="H740" i="11"/>
  <c r="H722" i="11"/>
  <c r="H742" i="11"/>
  <c r="H741" i="11"/>
  <c r="H738" i="11"/>
  <c r="H735" i="11"/>
  <c r="H728" i="11"/>
  <c r="H723" i="11"/>
  <c r="H726" i="11"/>
  <c r="H739" i="11"/>
  <c r="H736" i="11"/>
  <c r="H679" i="11"/>
  <c r="H663" i="11"/>
  <c r="H666" i="11"/>
  <c r="H676" i="11"/>
  <c r="I621" i="11"/>
  <c r="H607" i="11"/>
  <c r="H580" i="11"/>
  <c r="H566" i="11"/>
  <c r="H535" i="11"/>
  <c r="H541" i="11"/>
  <c r="H543" i="11"/>
  <c r="H540" i="11"/>
  <c r="H549" i="11"/>
  <c r="H546" i="11"/>
  <c r="I550" i="11"/>
  <c r="C469" i="11" s="1"/>
  <c r="H547" i="11"/>
  <c r="H544" i="11"/>
  <c r="H519" i="11"/>
  <c r="G488" i="11"/>
  <c r="B589" i="11" l="1"/>
  <c r="B470" i="11"/>
  <c r="H668" i="11"/>
  <c r="H682" i="11"/>
  <c r="H729" i="11"/>
  <c r="H743" i="11"/>
  <c r="B468" i="11"/>
  <c r="H550" i="11"/>
  <c r="B469" i="11" s="1"/>
  <c r="B588" i="11" l="1"/>
  <c r="F595" i="44"/>
  <c r="E595" i="44"/>
  <c r="B46" i="3"/>
  <c r="B55" i="3" s="1"/>
  <c r="D22" i="3"/>
  <c r="D21" i="3"/>
  <c r="D20" i="3"/>
  <c r="D19" i="3"/>
  <c r="D18" i="3"/>
  <c r="D17" i="3"/>
  <c r="D16" i="3"/>
  <c r="D15" i="3"/>
  <c r="D14" i="3"/>
  <c r="C22" i="3"/>
  <c r="C21" i="3"/>
  <c r="C20" i="3"/>
  <c r="C19" i="3"/>
  <c r="C18" i="3"/>
  <c r="C17" i="3"/>
  <c r="C16" i="3"/>
  <c r="C15" i="3"/>
  <c r="C14" i="3"/>
  <c r="D30" i="3"/>
  <c r="D29" i="3"/>
  <c r="D28" i="3"/>
  <c r="D11" i="50"/>
  <c r="D10" i="50"/>
  <c r="G37" i="6" l="1"/>
  <c r="G38" i="6"/>
  <c r="G39" i="6"/>
  <c r="G40" i="6"/>
  <c r="B6" i="3"/>
  <c r="B4" i="50"/>
  <c r="C36" i="52"/>
  <c r="E36" i="52" s="1"/>
  <c r="B28" i="52"/>
  <c r="C28" i="52" s="1"/>
  <c r="F28" i="52" s="1"/>
  <c r="B29" i="52"/>
  <c r="C29" i="52" s="1"/>
  <c r="D29" i="52" s="1"/>
  <c r="G29" i="52" s="1"/>
  <c r="B30" i="52"/>
  <c r="C30" i="52" s="1"/>
  <c r="E30" i="52" s="1"/>
  <c r="B31" i="52"/>
  <c r="C31" i="52" s="1"/>
  <c r="F31" i="52" s="1"/>
  <c r="B32" i="52"/>
  <c r="C32" i="52" s="1"/>
  <c r="D32" i="52" s="1"/>
  <c r="G32" i="52" s="1"/>
  <c r="B33" i="52"/>
  <c r="C33" i="52" s="1"/>
  <c r="E33" i="52" s="1"/>
  <c r="B34" i="52"/>
  <c r="C34" i="52" s="1"/>
  <c r="F34" i="52" s="1"/>
  <c r="B35" i="52"/>
  <c r="C35" i="52" s="1"/>
  <c r="D35" i="52" s="1"/>
  <c r="G35" i="52" s="1"/>
  <c r="B36" i="52"/>
  <c r="B37" i="52"/>
  <c r="C37" i="52" s="1"/>
  <c r="F37" i="52" s="1"/>
  <c r="B38" i="52"/>
  <c r="C38" i="52" s="1"/>
  <c r="D38" i="52" s="1"/>
  <c r="G38" i="52" s="1"/>
  <c r="B39" i="52"/>
  <c r="C39" i="52" s="1"/>
  <c r="E39" i="52" s="1"/>
  <c r="G31" i="12"/>
  <c r="E31" i="12"/>
  <c r="D31" i="12"/>
  <c r="C31" i="12"/>
  <c r="D54" i="48"/>
  <c r="D38" i="48"/>
  <c r="D16" i="48"/>
  <c r="D14" i="48"/>
  <c r="D12" i="48"/>
  <c r="D13" i="48"/>
  <c r="I11" i="48"/>
  <c r="B5" i="48" s="1"/>
  <c r="C16" i="9"/>
  <c r="E13" i="13"/>
  <c r="C174" i="12"/>
  <c r="D174" i="12" s="1"/>
  <c r="C175" i="12"/>
  <c r="D175" i="12" s="1"/>
  <c r="C176" i="12"/>
  <c r="D176" i="12" s="1"/>
  <c r="I176" i="12" s="1"/>
  <c r="C177" i="12"/>
  <c r="D177" i="12" s="1"/>
  <c r="C178" i="12"/>
  <c r="D178" i="12" s="1"/>
  <c r="C179" i="12"/>
  <c r="D179" i="12" s="1"/>
  <c r="I179" i="12" s="1"/>
  <c r="C180" i="12"/>
  <c r="D180" i="12" s="1"/>
  <c r="C181" i="12"/>
  <c r="D181" i="12" s="1"/>
  <c r="C182" i="12"/>
  <c r="D182" i="12" s="1"/>
  <c r="I182" i="12" s="1"/>
  <c r="D173" i="12"/>
  <c r="C128" i="12"/>
  <c r="D128" i="12" s="1"/>
  <c r="I128" i="12" s="1"/>
  <c r="C129" i="12"/>
  <c r="D129" i="12" s="1"/>
  <c r="I129" i="12" s="1"/>
  <c r="C130" i="12"/>
  <c r="D130" i="12" s="1"/>
  <c r="I130" i="12" s="1"/>
  <c r="C131" i="12"/>
  <c r="D131" i="12" s="1"/>
  <c r="I131" i="12" s="1"/>
  <c r="C132" i="12"/>
  <c r="D132" i="12" s="1"/>
  <c r="I132" i="12" s="1"/>
  <c r="C133" i="12"/>
  <c r="D133" i="12" s="1"/>
  <c r="I133" i="12" s="1"/>
  <c r="C134" i="12"/>
  <c r="D134" i="12" s="1"/>
  <c r="I134" i="12" s="1"/>
  <c r="C135" i="12"/>
  <c r="D135" i="12" s="1"/>
  <c r="I135" i="12" s="1"/>
  <c r="C136" i="12"/>
  <c r="D136" i="12" s="1"/>
  <c r="I136" i="12" s="1"/>
  <c r="C127" i="12"/>
  <c r="D127" i="12" s="1"/>
  <c r="I127" i="12" s="1"/>
  <c r="C112" i="12"/>
  <c r="D112" i="12" s="1"/>
  <c r="C113" i="12"/>
  <c r="D113" i="12" s="1"/>
  <c r="C114" i="12"/>
  <c r="D114" i="12" s="1"/>
  <c r="C115" i="12"/>
  <c r="D115" i="12" s="1"/>
  <c r="C116" i="12"/>
  <c r="D116" i="12" s="1"/>
  <c r="C117" i="12"/>
  <c r="D117" i="12" s="1"/>
  <c r="C118" i="12"/>
  <c r="D118" i="12" s="1"/>
  <c r="C119" i="12"/>
  <c r="D119" i="12" s="1"/>
  <c r="C120" i="12"/>
  <c r="D120" i="12" s="1"/>
  <c r="D111" i="12"/>
  <c r="C16" i="12"/>
  <c r="C82" i="12"/>
  <c r="C83" i="12"/>
  <c r="C84" i="12"/>
  <c r="C85" i="12"/>
  <c r="C86" i="12"/>
  <c r="C87" i="12"/>
  <c r="C88" i="12"/>
  <c r="C89" i="12"/>
  <c r="C90" i="12"/>
  <c r="C81" i="12"/>
  <c r="G40" i="12"/>
  <c r="G39" i="12"/>
  <c r="G38" i="12"/>
  <c r="G37" i="12"/>
  <c r="G36" i="12"/>
  <c r="G35" i="12"/>
  <c r="G34" i="12"/>
  <c r="G33" i="12"/>
  <c r="G32" i="12"/>
  <c r="C40" i="12"/>
  <c r="C39" i="12"/>
  <c r="D39" i="12" s="1"/>
  <c r="E39" i="12" s="1"/>
  <c r="C38" i="12"/>
  <c r="D38" i="12" s="1"/>
  <c r="E38" i="12" s="1"/>
  <c r="C37" i="12"/>
  <c r="D37" i="12" s="1"/>
  <c r="E37" i="12" s="1"/>
  <c r="C36" i="12"/>
  <c r="D36" i="12" s="1"/>
  <c r="E36" i="12" s="1"/>
  <c r="C35" i="12"/>
  <c r="D35" i="12" s="1"/>
  <c r="E35" i="12" s="1"/>
  <c r="C34" i="12"/>
  <c r="C33" i="12"/>
  <c r="D33" i="12" s="1"/>
  <c r="E33" i="12" s="1"/>
  <c r="C32" i="12"/>
  <c r="D32" i="12" s="1"/>
  <c r="E32" i="12" s="1"/>
  <c r="E234" i="45"/>
  <c r="E235" i="45"/>
  <c r="E236" i="45"/>
  <c r="E237" i="45"/>
  <c r="E238" i="45"/>
  <c r="D184" i="45"/>
  <c r="C154" i="45"/>
  <c r="D154" i="45" s="1"/>
  <c r="C155" i="45"/>
  <c r="D155" i="45" s="1"/>
  <c r="C156" i="45"/>
  <c r="D156" i="45" s="1"/>
  <c r="C157" i="45"/>
  <c r="D157" i="45" s="1"/>
  <c r="C158" i="45"/>
  <c r="D158" i="45" s="1"/>
  <c r="C159" i="45"/>
  <c r="D159" i="45" s="1"/>
  <c r="C160" i="45"/>
  <c r="D160" i="45" s="1"/>
  <c r="C161" i="45"/>
  <c r="D161" i="45" s="1"/>
  <c r="C162" i="45"/>
  <c r="D162" i="45" s="1"/>
  <c r="C153" i="45"/>
  <c r="D153" i="45" s="1"/>
  <c r="E153" i="45" s="1"/>
  <c r="C139" i="45"/>
  <c r="D139" i="45" s="1"/>
  <c r="E139" i="45" s="1"/>
  <c r="C124" i="45"/>
  <c r="D124" i="45" s="1"/>
  <c r="E124" i="45" s="1"/>
  <c r="C125" i="45"/>
  <c r="D125" i="45" s="1"/>
  <c r="E125" i="45" s="1"/>
  <c r="C126" i="45"/>
  <c r="D126" i="45" s="1"/>
  <c r="C127" i="45"/>
  <c r="D127" i="45" s="1"/>
  <c r="E127" i="45" s="1"/>
  <c r="C128" i="45"/>
  <c r="D128" i="45" s="1"/>
  <c r="E128" i="45" s="1"/>
  <c r="C129" i="45"/>
  <c r="D129" i="45" s="1"/>
  <c r="C130" i="45"/>
  <c r="D130" i="45" s="1"/>
  <c r="E130" i="45" s="1"/>
  <c r="C131" i="45"/>
  <c r="D131" i="45" s="1"/>
  <c r="E131" i="45" s="1"/>
  <c r="C132" i="45"/>
  <c r="D132" i="45" s="1"/>
  <c r="C133" i="45"/>
  <c r="D133" i="45" s="1"/>
  <c r="E133" i="45" s="1"/>
  <c r="F87" i="44"/>
  <c r="F685" i="44" s="1"/>
  <c r="F88" i="44"/>
  <c r="F686" i="44" s="1"/>
  <c r="D63" i="48" l="1"/>
  <c r="B4" i="48" s="1"/>
  <c r="G184" i="45"/>
  <c r="E184" i="45"/>
  <c r="F184" i="45"/>
  <c r="E181" i="12"/>
  <c r="I181" i="12"/>
  <c r="E175" i="12"/>
  <c r="I175" i="12"/>
  <c r="E173" i="12"/>
  <c r="I173" i="12"/>
  <c r="E180" i="12"/>
  <c r="I180" i="12"/>
  <c r="E177" i="12"/>
  <c r="I177" i="12"/>
  <c r="E174" i="12"/>
  <c r="I174" i="12"/>
  <c r="E178" i="12"/>
  <c r="I178" i="12"/>
  <c r="G111" i="12"/>
  <c r="E111" i="12"/>
  <c r="F111" i="12"/>
  <c r="G118" i="12"/>
  <c r="E118" i="12"/>
  <c r="F118" i="12"/>
  <c r="G115" i="12"/>
  <c r="F115" i="12"/>
  <c r="E115" i="12"/>
  <c r="G112" i="12"/>
  <c r="F112" i="12"/>
  <c r="E112" i="12"/>
  <c r="G120" i="12"/>
  <c r="F120" i="12"/>
  <c r="E120" i="12"/>
  <c r="G117" i="12"/>
  <c r="E117" i="12"/>
  <c r="F117" i="12"/>
  <c r="I114" i="12"/>
  <c r="G114" i="12"/>
  <c r="E114" i="12"/>
  <c r="F114" i="12"/>
  <c r="G119" i="12"/>
  <c r="E119" i="12"/>
  <c r="F119" i="12"/>
  <c r="G116" i="12"/>
  <c r="E116" i="12"/>
  <c r="F116" i="12"/>
  <c r="G113" i="12"/>
  <c r="F113" i="12"/>
  <c r="E113" i="12"/>
  <c r="F16" i="12"/>
  <c r="H16" i="12"/>
  <c r="D16" i="12"/>
  <c r="C95" i="45"/>
  <c r="D95" i="45" s="1"/>
  <c r="E95" i="45" s="1"/>
  <c r="F95" i="45" s="1"/>
  <c r="G95" i="45" s="1"/>
  <c r="C696" i="11"/>
  <c r="D696" i="11" s="1"/>
  <c r="C693" i="11"/>
  <c r="D693" i="11" s="1"/>
  <c r="C690" i="11"/>
  <c r="D690" i="11" s="1"/>
  <c r="C688" i="11"/>
  <c r="D688" i="11" s="1"/>
  <c r="C650" i="11"/>
  <c r="D650" i="11" s="1"/>
  <c r="I650" i="11" s="1"/>
  <c r="C647" i="11"/>
  <c r="D647" i="11" s="1"/>
  <c r="I647" i="11" s="1"/>
  <c r="C644" i="11"/>
  <c r="D644" i="11" s="1"/>
  <c r="I644" i="11" s="1"/>
  <c r="C695" i="11"/>
  <c r="D695" i="11" s="1"/>
  <c r="C692" i="11"/>
  <c r="D692" i="11" s="1"/>
  <c r="C649" i="11"/>
  <c r="D649" i="11" s="1"/>
  <c r="I649" i="11" s="1"/>
  <c r="C646" i="11"/>
  <c r="D646" i="11" s="1"/>
  <c r="I646" i="11" s="1"/>
  <c r="C643" i="11"/>
  <c r="D643" i="11" s="1"/>
  <c r="I643" i="11" s="1"/>
  <c r="C697" i="11"/>
  <c r="D697" i="11" s="1"/>
  <c r="C694" i="11"/>
  <c r="D694" i="11" s="1"/>
  <c r="C691" i="11"/>
  <c r="D691" i="11" s="1"/>
  <c r="C689" i="11"/>
  <c r="D689" i="11" s="1"/>
  <c r="C651" i="11"/>
  <c r="D651" i="11" s="1"/>
  <c r="I651" i="11" s="1"/>
  <c r="C648" i="11"/>
  <c r="D648" i="11" s="1"/>
  <c r="I648" i="11" s="1"/>
  <c r="C645" i="11"/>
  <c r="D645" i="11" s="1"/>
  <c r="I645" i="11" s="1"/>
  <c r="C642" i="11"/>
  <c r="D642" i="11" s="1"/>
  <c r="I642" i="11" s="1"/>
  <c r="C110" i="45"/>
  <c r="D110" i="45" s="1"/>
  <c r="I110" i="45" s="1"/>
  <c r="C711" i="11"/>
  <c r="D711" i="11" s="1"/>
  <c r="C708" i="11"/>
  <c r="D708" i="11" s="1"/>
  <c r="C705" i="11"/>
  <c r="D705" i="11" s="1"/>
  <c r="C703" i="11"/>
  <c r="D703" i="11" s="1"/>
  <c r="C710" i="11"/>
  <c r="D710" i="11" s="1"/>
  <c r="C707" i="11"/>
  <c r="D707" i="11" s="1"/>
  <c r="C704" i="11"/>
  <c r="D704" i="11" s="1"/>
  <c r="C702" i="11"/>
  <c r="D702" i="11" s="1"/>
  <c r="C709" i="11"/>
  <c r="D709" i="11" s="1"/>
  <c r="C706" i="11"/>
  <c r="D706" i="11" s="1"/>
  <c r="E16" i="12"/>
  <c r="D28" i="52"/>
  <c r="G28" i="52" s="1"/>
  <c r="F31" i="12"/>
  <c r="F39" i="52"/>
  <c r="H39" i="52" s="1"/>
  <c r="E29" i="52"/>
  <c r="D31" i="52"/>
  <c r="G31" i="52" s="1"/>
  <c r="E32" i="52"/>
  <c r="D34" i="52"/>
  <c r="G34" i="52" s="1"/>
  <c r="E35" i="52"/>
  <c r="D37" i="52"/>
  <c r="G37" i="52" s="1"/>
  <c r="E38" i="52"/>
  <c r="E28" i="52"/>
  <c r="H28" i="52" s="1"/>
  <c r="E31" i="52"/>
  <c r="H31" i="52" s="1"/>
  <c r="E34" i="52"/>
  <c r="H34" i="52" s="1"/>
  <c r="E37" i="52"/>
  <c r="H37" i="52" s="1"/>
  <c r="F30" i="52"/>
  <c r="H30" i="52" s="1"/>
  <c r="F33" i="52"/>
  <c r="H33" i="52" s="1"/>
  <c r="F29" i="52"/>
  <c r="D30" i="52"/>
  <c r="G30" i="52" s="1"/>
  <c r="F32" i="52"/>
  <c r="D33" i="52"/>
  <c r="G33" i="52" s="1"/>
  <c r="F35" i="52"/>
  <c r="D36" i="52"/>
  <c r="G36" i="52" s="1"/>
  <c r="F38" i="52"/>
  <c r="D39" i="52"/>
  <c r="G39" i="52" s="1"/>
  <c r="F36" i="52"/>
  <c r="H36" i="52" s="1"/>
  <c r="C167" i="12"/>
  <c r="D167" i="12" s="1"/>
  <c r="I167" i="12" s="1"/>
  <c r="C164" i="12"/>
  <c r="D164" i="12" s="1"/>
  <c r="C161" i="12"/>
  <c r="D161" i="12" s="1"/>
  <c r="C48" i="45"/>
  <c r="D48" i="45" s="1"/>
  <c r="C100" i="45"/>
  <c r="D100" i="45" s="1"/>
  <c r="E100" i="45" s="1"/>
  <c r="C166" i="12"/>
  <c r="D166" i="12" s="1"/>
  <c r="C163" i="12"/>
  <c r="D163" i="12" s="1"/>
  <c r="C160" i="12"/>
  <c r="D160" i="12" s="1"/>
  <c r="C55" i="45"/>
  <c r="D55" i="45" s="1"/>
  <c r="C158" i="12"/>
  <c r="D158" i="12" s="1"/>
  <c r="C165" i="12"/>
  <c r="D165" i="12" s="1"/>
  <c r="C162" i="12"/>
  <c r="D162" i="12" s="1"/>
  <c r="C159" i="12"/>
  <c r="D159" i="12" s="1"/>
  <c r="E136" i="12"/>
  <c r="E133" i="12"/>
  <c r="E130" i="12"/>
  <c r="E127" i="12"/>
  <c r="F127" i="12"/>
  <c r="E134" i="12"/>
  <c r="F134" i="12"/>
  <c r="E131" i="12"/>
  <c r="F131" i="12"/>
  <c r="E128" i="12"/>
  <c r="F128" i="12"/>
  <c r="E135" i="12"/>
  <c r="F135" i="12"/>
  <c r="E132" i="12"/>
  <c r="F132" i="12"/>
  <c r="E129" i="12"/>
  <c r="F129" i="12"/>
  <c r="E182" i="12"/>
  <c r="F182" i="12"/>
  <c r="E179" i="12"/>
  <c r="F179" i="12"/>
  <c r="E176" i="12"/>
  <c r="F176" i="12"/>
  <c r="I113" i="12"/>
  <c r="F173" i="12"/>
  <c r="F174" i="12"/>
  <c r="F175" i="12"/>
  <c r="F177" i="12"/>
  <c r="F178" i="12"/>
  <c r="F180" i="12"/>
  <c r="F181" i="12"/>
  <c r="F130" i="12"/>
  <c r="F133" i="12"/>
  <c r="F136" i="12"/>
  <c r="G173" i="12"/>
  <c r="G174" i="12"/>
  <c r="G175" i="12"/>
  <c r="G176" i="12"/>
  <c r="G177" i="12"/>
  <c r="G178" i="12"/>
  <c r="G179" i="12"/>
  <c r="G180" i="12"/>
  <c r="G181" i="12"/>
  <c r="G182" i="12"/>
  <c r="G127" i="12"/>
  <c r="G128" i="12"/>
  <c r="G129" i="12"/>
  <c r="G130" i="12"/>
  <c r="G131" i="12"/>
  <c r="G132" i="12"/>
  <c r="G133" i="12"/>
  <c r="G134" i="12"/>
  <c r="G135" i="12"/>
  <c r="G136" i="12"/>
  <c r="I119" i="12"/>
  <c r="I116" i="12"/>
  <c r="I118" i="12"/>
  <c r="I115" i="12"/>
  <c r="I112" i="12"/>
  <c r="I120" i="12"/>
  <c r="I117" i="12"/>
  <c r="I111" i="12"/>
  <c r="D83" i="12"/>
  <c r="D86" i="12"/>
  <c r="D89" i="12"/>
  <c r="D82" i="12"/>
  <c r="D85" i="12"/>
  <c r="D88" i="12"/>
  <c r="D81" i="12"/>
  <c r="D84" i="12"/>
  <c r="D87" i="12"/>
  <c r="D90" i="12"/>
  <c r="G41" i="12"/>
  <c r="D40" i="12"/>
  <c r="E40" i="12" s="1"/>
  <c r="D34" i="12"/>
  <c r="E34" i="12" s="1"/>
  <c r="F37" i="12"/>
  <c r="F33" i="12"/>
  <c r="F36" i="12"/>
  <c r="F39" i="12"/>
  <c r="F32" i="12"/>
  <c r="F35" i="12"/>
  <c r="F38" i="12"/>
  <c r="C49" i="45"/>
  <c r="D49" i="45" s="1"/>
  <c r="C97" i="45"/>
  <c r="D97" i="45" s="1"/>
  <c r="E97" i="45" s="1"/>
  <c r="F97" i="45" s="1"/>
  <c r="G97" i="45" s="1"/>
  <c r="E239" i="45"/>
  <c r="C52" i="45"/>
  <c r="D52" i="45" s="1"/>
  <c r="C103" i="45"/>
  <c r="D103" i="45" s="1"/>
  <c r="E103" i="45" s="1"/>
  <c r="F103" i="45" s="1"/>
  <c r="G103" i="45" s="1"/>
  <c r="C108" i="45"/>
  <c r="D108" i="45" s="1"/>
  <c r="E108" i="45" s="1"/>
  <c r="F108" i="45" s="1"/>
  <c r="G108" i="45" s="1"/>
  <c r="C115" i="45"/>
  <c r="D115" i="45" s="1"/>
  <c r="I115" i="45" s="1"/>
  <c r="C112" i="45"/>
  <c r="D112" i="45" s="1"/>
  <c r="E112" i="45" s="1"/>
  <c r="F112" i="45" s="1"/>
  <c r="G112" i="45" s="1"/>
  <c r="C109" i="45"/>
  <c r="D109" i="45" s="1"/>
  <c r="I109" i="45" s="1"/>
  <c r="C57" i="45"/>
  <c r="D57" i="45" s="1"/>
  <c r="C54" i="45"/>
  <c r="D54" i="45" s="1"/>
  <c r="C51" i="45"/>
  <c r="D51" i="45" s="1"/>
  <c r="C102" i="45"/>
  <c r="D102" i="45" s="1"/>
  <c r="I102" i="45" s="1"/>
  <c r="C99" i="45"/>
  <c r="D99" i="45" s="1"/>
  <c r="E99" i="45" s="1"/>
  <c r="F99" i="45" s="1"/>
  <c r="G99" i="45" s="1"/>
  <c r="C96" i="45"/>
  <c r="D96" i="45" s="1"/>
  <c r="E96" i="45" s="1"/>
  <c r="F96" i="45" s="1"/>
  <c r="C117" i="45"/>
  <c r="D117" i="45" s="1"/>
  <c r="E117" i="45" s="1"/>
  <c r="F117" i="45" s="1"/>
  <c r="C114" i="45"/>
  <c r="D114" i="45" s="1"/>
  <c r="I114" i="45" s="1"/>
  <c r="C111" i="45"/>
  <c r="D111" i="45" s="1"/>
  <c r="E111" i="45" s="1"/>
  <c r="F111" i="45" s="1"/>
  <c r="G111" i="45" s="1"/>
  <c r="C56" i="45"/>
  <c r="D56" i="45" s="1"/>
  <c r="C53" i="45"/>
  <c r="D53" i="45" s="1"/>
  <c r="C50" i="45"/>
  <c r="D50" i="45" s="1"/>
  <c r="C94" i="45"/>
  <c r="D94" i="45" s="1"/>
  <c r="I94" i="45" s="1"/>
  <c r="C101" i="45"/>
  <c r="D101" i="45" s="1"/>
  <c r="E101" i="45" s="1"/>
  <c r="C98" i="45"/>
  <c r="D98" i="45" s="1"/>
  <c r="E98" i="45" s="1"/>
  <c r="F98" i="45" s="1"/>
  <c r="G98" i="45" s="1"/>
  <c r="C116" i="45"/>
  <c r="D116" i="45" s="1"/>
  <c r="I116" i="45" s="1"/>
  <c r="C113" i="45"/>
  <c r="D113" i="45" s="1"/>
  <c r="E113" i="45" s="1"/>
  <c r="F113" i="45" s="1"/>
  <c r="G113" i="45" s="1"/>
  <c r="I184" i="45"/>
  <c r="E161" i="45"/>
  <c r="F161" i="45" s="1"/>
  <c r="I161" i="45"/>
  <c r="E158" i="45"/>
  <c r="F158" i="45" s="1"/>
  <c r="G158" i="45" s="1"/>
  <c r="I158" i="45"/>
  <c r="E155" i="45"/>
  <c r="F155" i="45" s="1"/>
  <c r="G155" i="45" s="1"/>
  <c r="I155" i="45"/>
  <c r="E160" i="45"/>
  <c r="F160" i="45" s="1"/>
  <c r="G160" i="45" s="1"/>
  <c r="I160" i="45"/>
  <c r="E157" i="45"/>
  <c r="F157" i="45" s="1"/>
  <c r="G157" i="45" s="1"/>
  <c r="I157" i="45"/>
  <c r="E154" i="45"/>
  <c r="F154" i="45" s="1"/>
  <c r="G154" i="45" s="1"/>
  <c r="I154" i="45"/>
  <c r="E162" i="45"/>
  <c r="F162" i="45" s="1"/>
  <c r="G162" i="45" s="1"/>
  <c r="I162" i="45"/>
  <c r="E159" i="45"/>
  <c r="F159" i="45" s="1"/>
  <c r="G159" i="45" s="1"/>
  <c r="I159" i="45"/>
  <c r="E156" i="45"/>
  <c r="F156" i="45" s="1"/>
  <c r="G156" i="45" s="1"/>
  <c r="I156" i="45"/>
  <c r="I153" i="45"/>
  <c r="F153" i="45"/>
  <c r="G153" i="45" s="1"/>
  <c r="I139" i="45"/>
  <c r="F139" i="45"/>
  <c r="G139" i="45" s="1"/>
  <c r="E132" i="45"/>
  <c r="F132" i="45" s="1"/>
  <c r="G132" i="45" s="1"/>
  <c r="I132" i="45"/>
  <c r="E129" i="45"/>
  <c r="I129" i="45"/>
  <c r="E126" i="45"/>
  <c r="F126" i="45" s="1"/>
  <c r="G126" i="45" s="1"/>
  <c r="I126" i="45"/>
  <c r="I125" i="45"/>
  <c r="I128" i="45"/>
  <c r="I131" i="45"/>
  <c r="I124" i="45"/>
  <c r="I127" i="45"/>
  <c r="I130" i="45"/>
  <c r="I133" i="45"/>
  <c r="F125" i="45"/>
  <c r="G125" i="45" s="1"/>
  <c r="F128" i="45"/>
  <c r="G128" i="45" s="1"/>
  <c r="F131" i="45"/>
  <c r="G131" i="45" s="1"/>
  <c r="F124" i="45"/>
  <c r="G124" i="45" s="1"/>
  <c r="F127" i="45"/>
  <c r="G127" i="45" s="1"/>
  <c r="F130" i="45"/>
  <c r="G130" i="45" s="1"/>
  <c r="F133" i="45"/>
  <c r="G133" i="45" s="1"/>
  <c r="F86" i="44"/>
  <c r="F684" i="44" s="1"/>
  <c r="I95" i="45" l="1"/>
  <c r="E110" i="45"/>
  <c r="F110" i="45" s="1"/>
  <c r="G110" i="45" s="1"/>
  <c r="E109" i="45"/>
  <c r="F109" i="45" s="1"/>
  <c r="G109" i="45" s="1"/>
  <c r="I108" i="45"/>
  <c r="E159" i="12"/>
  <c r="I159" i="12"/>
  <c r="E163" i="12"/>
  <c r="I163" i="12"/>
  <c r="E162" i="12"/>
  <c r="I162" i="12"/>
  <c r="E166" i="12"/>
  <c r="I166" i="12"/>
  <c r="F161" i="12"/>
  <c r="I161" i="12"/>
  <c r="E158" i="12"/>
  <c r="I158" i="12"/>
  <c r="H175" i="12"/>
  <c r="H127" i="12"/>
  <c r="E165" i="12"/>
  <c r="I165" i="12"/>
  <c r="E160" i="12"/>
  <c r="I160" i="12"/>
  <c r="F164" i="12"/>
  <c r="I164" i="12"/>
  <c r="I134" i="45"/>
  <c r="E84" i="12"/>
  <c r="G84" i="12"/>
  <c r="F84" i="12"/>
  <c r="E85" i="12"/>
  <c r="F85" i="12"/>
  <c r="G85" i="12"/>
  <c r="E86" i="12"/>
  <c r="G86" i="12"/>
  <c r="F86" i="12"/>
  <c r="E90" i="12"/>
  <c r="F90" i="12"/>
  <c r="G90" i="12"/>
  <c r="G81" i="12"/>
  <c r="F81" i="12"/>
  <c r="E81" i="12"/>
  <c r="E82" i="12"/>
  <c r="F82" i="12"/>
  <c r="G82" i="12"/>
  <c r="E83" i="12"/>
  <c r="F83" i="12"/>
  <c r="G83" i="12"/>
  <c r="E87" i="12"/>
  <c r="F87" i="12"/>
  <c r="G87" i="12"/>
  <c r="E88" i="12"/>
  <c r="F88" i="12"/>
  <c r="G88" i="12"/>
  <c r="E89" i="12"/>
  <c r="G89" i="12"/>
  <c r="F89" i="12"/>
  <c r="F53" i="45"/>
  <c r="I53" i="45"/>
  <c r="F54" i="45"/>
  <c r="I54" i="45"/>
  <c r="G55" i="45"/>
  <c r="I55" i="45"/>
  <c r="F56" i="45"/>
  <c r="I56" i="45"/>
  <c r="G57" i="45"/>
  <c r="I57" i="45"/>
  <c r="G52" i="45"/>
  <c r="I52" i="45"/>
  <c r="F49" i="45"/>
  <c r="I49" i="45"/>
  <c r="E50" i="45"/>
  <c r="I50" i="45"/>
  <c r="E51" i="45"/>
  <c r="I51" i="45"/>
  <c r="F48" i="45"/>
  <c r="I48" i="45"/>
  <c r="H32" i="52"/>
  <c r="H35" i="52"/>
  <c r="H38" i="52"/>
  <c r="H29" i="52"/>
  <c r="G40" i="52"/>
  <c r="D16" i="2"/>
  <c r="E16" i="2" s="1"/>
  <c r="F16" i="2" s="1"/>
  <c r="G9" i="51"/>
  <c r="E702" i="11"/>
  <c r="I702" i="11"/>
  <c r="E710" i="11"/>
  <c r="I710" i="11"/>
  <c r="E708" i="11"/>
  <c r="I708" i="11"/>
  <c r="E642" i="11"/>
  <c r="G642" i="11"/>
  <c r="F642" i="11"/>
  <c r="E651" i="11"/>
  <c r="G651" i="11"/>
  <c r="F651" i="11"/>
  <c r="E694" i="11"/>
  <c r="I694" i="11"/>
  <c r="F646" i="11"/>
  <c r="G646" i="11"/>
  <c r="E646" i="11"/>
  <c r="I695" i="11"/>
  <c r="E695" i="11"/>
  <c r="G650" i="11"/>
  <c r="E650" i="11"/>
  <c r="F650" i="11"/>
  <c r="I693" i="11"/>
  <c r="E693" i="11"/>
  <c r="C634" i="11"/>
  <c r="D634" i="11" s="1"/>
  <c r="I634" i="11" s="1"/>
  <c r="C632" i="11"/>
  <c r="D632" i="11" s="1"/>
  <c r="I632" i="11" s="1"/>
  <c r="C636" i="11"/>
  <c r="D636" i="11" s="1"/>
  <c r="I636" i="11" s="1"/>
  <c r="C633" i="11"/>
  <c r="D633" i="11" s="1"/>
  <c r="I633" i="11" s="1"/>
  <c r="C631" i="11"/>
  <c r="D631" i="11" s="1"/>
  <c r="I631" i="11" s="1"/>
  <c r="C629" i="11"/>
  <c r="D629" i="11" s="1"/>
  <c r="I629" i="11" s="1"/>
  <c r="C627" i="11"/>
  <c r="D627" i="11" s="1"/>
  <c r="I627" i="11" s="1"/>
  <c r="C635" i="11"/>
  <c r="D635" i="11" s="1"/>
  <c r="I635" i="11" s="1"/>
  <c r="C630" i="11"/>
  <c r="D630" i="11" s="1"/>
  <c r="I630" i="11" s="1"/>
  <c r="C628" i="11"/>
  <c r="D628" i="11" s="1"/>
  <c r="I628" i="11" s="1"/>
  <c r="I706" i="11"/>
  <c r="E706" i="11"/>
  <c r="I704" i="11"/>
  <c r="E704" i="11"/>
  <c r="I703" i="11"/>
  <c r="E703" i="11"/>
  <c r="I711" i="11"/>
  <c r="E711" i="11"/>
  <c r="G645" i="11"/>
  <c r="F645" i="11"/>
  <c r="E645" i="11"/>
  <c r="I689" i="11"/>
  <c r="E689" i="11"/>
  <c r="E697" i="11"/>
  <c r="I697" i="11"/>
  <c r="G649" i="11"/>
  <c r="E649" i="11"/>
  <c r="F649" i="11"/>
  <c r="G644" i="11"/>
  <c r="F644" i="11"/>
  <c r="E644" i="11"/>
  <c r="E688" i="11"/>
  <c r="I688" i="11"/>
  <c r="E696" i="11"/>
  <c r="I696" i="11"/>
  <c r="I709" i="11"/>
  <c r="E709" i="11"/>
  <c r="I707" i="11"/>
  <c r="E707" i="11"/>
  <c r="E705" i="11"/>
  <c r="I705" i="11"/>
  <c r="E648" i="11"/>
  <c r="G648" i="11"/>
  <c r="F648" i="11"/>
  <c r="E691" i="11"/>
  <c r="I691" i="11"/>
  <c r="F643" i="11"/>
  <c r="G643" i="11"/>
  <c r="E643" i="11"/>
  <c r="I692" i="11"/>
  <c r="E692" i="11"/>
  <c r="G647" i="11"/>
  <c r="F647" i="11"/>
  <c r="E647" i="11"/>
  <c r="I690" i="11"/>
  <c r="E690" i="11"/>
  <c r="H173" i="12"/>
  <c r="E48" i="45"/>
  <c r="E161" i="12"/>
  <c r="G163" i="12"/>
  <c r="E167" i="12"/>
  <c r="G162" i="12"/>
  <c r="F159" i="12"/>
  <c r="G49" i="45"/>
  <c r="G48" i="45"/>
  <c r="G167" i="12"/>
  <c r="G158" i="12"/>
  <c r="E49" i="45"/>
  <c r="F55" i="45"/>
  <c r="G159" i="12"/>
  <c r="F166" i="12"/>
  <c r="E52" i="45"/>
  <c r="E55" i="45"/>
  <c r="G50" i="45"/>
  <c r="F163" i="12"/>
  <c r="F167" i="12"/>
  <c r="F158" i="12"/>
  <c r="E164" i="12"/>
  <c r="I100" i="45"/>
  <c r="F51" i="45"/>
  <c r="I96" i="45"/>
  <c r="H135" i="12"/>
  <c r="G164" i="12"/>
  <c r="G161" i="12"/>
  <c r="F162" i="12"/>
  <c r="C144" i="12"/>
  <c r="D144" i="12" s="1"/>
  <c r="I144" i="12" s="1"/>
  <c r="C147" i="12"/>
  <c r="D147" i="12" s="1"/>
  <c r="I147" i="12" s="1"/>
  <c r="C150" i="12"/>
  <c r="D150" i="12" s="1"/>
  <c r="I150" i="12" s="1"/>
  <c r="C143" i="12"/>
  <c r="D143" i="12" s="1"/>
  <c r="I143" i="12" s="1"/>
  <c r="C145" i="12"/>
  <c r="D145" i="12" s="1"/>
  <c r="I145" i="12" s="1"/>
  <c r="C148" i="12"/>
  <c r="D148" i="12" s="1"/>
  <c r="I148" i="12" s="1"/>
  <c r="C151" i="12"/>
  <c r="D151" i="12" s="1"/>
  <c r="I151" i="12" s="1"/>
  <c r="C146" i="12"/>
  <c r="D146" i="12" s="1"/>
  <c r="I146" i="12" s="1"/>
  <c r="C149" i="12"/>
  <c r="D149" i="12" s="1"/>
  <c r="I149" i="12" s="1"/>
  <c r="C152" i="12"/>
  <c r="D152" i="12" s="1"/>
  <c r="I152" i="12" s="1"/>
  <c r="F50" i="45"/>
  <c r="G51" i="45"/>
  <c r="I98" i="45"/>
  <c r="I111" i="45"/>
  <c r="H182" i="12"/>
  <c r="H179" i="12"/>
  <c r="I97" i="45"/>
  <c r="G165" i="12"/>
  <c r="G166" i="12"/>
  <c r="G160" i="12"/>
  <c r="F165" i="12"/>
  <c r="F160" i="12"/>
  <c r="H178" i="12"/>
  <c r="H181" i="12"/>
  <c r="H132" i="12"/>
  <c r="H136" i="12"/>
  <c r="H174" i="12"/>
  <c r="H176" i="12"/>
  <c r="H129" i="12"/>
  <c r="I137" i="12"/>
  <c r="H134" i="12"/>
  <c r="H131" i="12"/>
  <c r="H128" i="12"/>
  <c r="I183" i="12"/>
  <c r="H133" i="12"/>
  <c r="H130" i="12"/>
  <c r="H180" i="12"/>
  <c r="H177" i="12"/>
  <c r="I121" i="12"/>
  <c r="G16" i="12"/>
  <c r="I84" i="12"/>
  <c r="I85" i="12"/>
  <c r="I82" i="12"/>
  <c r="I89" i="12"/>
  <c r="I83" i="12"/>
  <c r="I90" i="12"/>
  <c r="I81" i="12"/>
  <c r="I88" i="12"/>
  <c r="I86" i="12"/>
  <c r="I87" i="12"/>
  <c r="F40" i="12"/>
  <c r="F34" i="12"/>
  <c r="E114" i="45"/>
  <c r="F114" i="45" s="1"/>
  <c r="G114" i="45" s="1"/>
  <c r="G54" i="45"/>
  <c r="I103" i="45"/>
  <c r="G56" i="45"/>
  <c r="F57" i="45"/>
  <c r="E102" i="45"/>
  <c r="F102" i="45" s="1"/>
  <c r="G102" i="45" s="1"/>
  <c r="F52" i="45"/>
  <c r="E57" i="45"/>
  <c r="E94" i="45"/>
  <c r="F94" i="45" s="1"/>
  <c r="G94" i="45" s="1"/>
  <c r="I117" i="45"/>
  <c r="E116" i="45"/>
  <c r="F116" i="45" s="1"/>
  <c r="G116" i="45" s="1"/>
  <c r="E53" i="45"/>
  <c r="I112" i="45"/>
  <c r="E115" i="45"/>
  <c r="F115" i="45" s="1"/>
  <c r="G115" i="45" s="1"/>
  <c r="C34" i="45"/>
  <c r="C37" i="45"/>
  <c r="C40" i="45"/>
  <c r="C33" i="45"/>
  <c r="D33" i="45" s="1"/>
  <c r="I33" i="45" s="1"/>
  <c r="C35" i="45"/>
  <c r="C38" i="45"/>
  <c r="C41" i="45"/>
  <c r="C36" i="45"/>
  <c r="C39" i="45"/>
  <c r="C42" i="45"/>
  <c r="I101" i="45"/>
  <c r="I99" i="45"/>
  <c r="I113" i="45"/>
  <c r="E54" i="45"/>
  <c r="E56" i="45"/>
  <c r="G53" i="45"/>
  <c r="H184" i="45"/>
  <c r="H153" i="45"/>
  <c r="H162" i="45"/>
  <c r="G117" i="45"/>
  <c r="H117" i="45" s="1"/>
  <c r="G161" i="45"/>
  <c r="H161" i="45" s="1"/>
  <c r="H160" i="45"/>
  <c r="I163" i="45"/>
  <c r="H155" i="45"/>
  <c r="H154" i="45"/>
  <c r="H156" i="45"/>
  <c r="H158" i="45"/>
  <c r="H157" i="45"/>
  <c r="H159" i="45"/>
  <c r="H108" i="45"/>
  <c r="F100" i="45"/>
  <c r="G100" i="45" s="1"/>
  <c r="H109" i="45"/>
  <c r="H139" i="45"/>
  <c r="H111" i="45"/>
  <c r="H112" i="45"/>
  <c r="H113" i="45"/>
  <c r="G96" i="45"/>
  <c r="H96" i="45" s="1"/>
  <c r="F101" i="45"/>
  <c r="G101" i="45" s="1"/>
  <c r="H99" i="45"/>
  <c r="H103" i="45"/>
  <c r="H95" i="45"/>
  <c r="H97" i="45"/>
  <c r="H98" i="45"/>
  <c r="F129" i="45"/>
  <c r="G129" i="45" s="1"/>
  <c r="H133" i="45"/>
  <c r="H125" i="45"/>
  <c r="H124" i="45"/>
  <c r="H128" i="45"/>
  <c r="H127" i="45"/>
  <c r="H130" i="45"/>
  <c r="H131" i="45"/>
  <c r="H132" i="45"/>
  <c r="H126" i="45"/>
  <c r="H110" i="45" l="1"/>
  <c r="H160" i="12"/>
  <c r="I118" i="45"/>
  <c r="H16" i="2"/>
  <c r="H40" i="52"/>
  <c r="G16" i="2"/>
  <c r="H644" i="11"/>
  <c r="H650" i="11"/>
  <c r="H643" i="11"/>
  <c r="F690" i="11"/>
  <c r="G690" i="11" s="1"/>
  <c r="H647" i="11"/>
  <c r="F692" i="11"/>
  <c r="G692" i="11" s="1"/>
  <c r="F688" i="11"/>
  <c r="G688" i="11" s="1"/>
  <c r="F704" i="11"/>
  <c r="G704" i="11" s="1"/>
  <c r="G635" i="11"/>
  <c r="F635" i="11"/>
  <c r="E635" i="11"/>
  <c r="E631" i="11"/>
  <c r="F631" i="11"/>
  <c r="G631" i="11"/>
  <c r="G632" i="11"/>
  <c r="E632" i="11"/>
  <c r="F632" i="11"/>
  <c r="F694" i="11"/>
  <c r="G694" i="11" s="1"/>
  <c r="F710" i="11"/>
  <c r="G710" i="11" s="1"/>
  <c r="F691" i="11"/>
  <c r="G691" i="11" s="1"/>
  <c r="H648" i="11"/>
  <c r="F705" i="11"/>
  <c r="G705" i="11" s="1"/>
  <c r="F709" i="11"/>
  <c r="G709" i="11" s="1"/>
  <c r="F696" i="11"/>
  <c r="G696" i="11" s="1"/>
  <c r="H649" i="11"/>
  <c r="F697" i="11"/>
  <c r="G697" i="11" s="1"/>
  <c r="H645" i="11"/>
  <c r="F703" i="11"/>
  <c r="G703" i="11" s="1"/>
  <c r="G628" i="11"/>
  <c r="E628" i="11"/>
  <c r="F628" i="11"/>
  <c r="F627" i="11"/>
  <c r="E627" i="11"/>
  <c r="G627" i="11"/>
  <c r="G633" i="11"/>
  <c r="F633" i="11"/>
  <c r="E633" i="11"/>
  <c r="F634" i="11"/>
  <c r="G634" i="11"/>
  <c r="E634" i="11"/>
  <c r="H651" i="11"/>
  <c r="H642" i="11"/>
  <c r="F708" i="11"/>
  <c r="G708" i="11" s="1"/>
  <c r="I712" i="11"/>
  <c r="F707" i="11"/>
  <c r="G707" i="11" s="1"/>
  <c r="I698" i="11"/>
  <c r="F689" i="11"/>
  <c r="G689" i="11" s="1"/>
  <c r="F711" i="11"/>
  <c r="G711" i="11" s="1"/>
  <c r="F706" i="11"/>
  <c r="G706" i="11" s="1"/>
  <c r="E630" i="11"/>
  <c r="G630" i="11"/>
  <c r="F630" i="11"/>
  <c r="G629" i="11"/>
  <c r="F629" i="11"/>
  <c r="E629" i="11"/>
  <c r="F636" i="11"/>
  <c r="E636" i="11"/>
  <c r="G636" i="11"/>
  <c r="F693" i="11"/>
  <c r="G693" i="11" s="1"/>
  <c r="F695" i="11"/>
  <c r="G695" i="11" s="1"/>
  <c r="H646" i="11"/>
  <c r="I652" i="11"/>
  <c r="C586" i="11" s="1"/>
  <c r="F702" i="11"/>
  <c r="G702" i="11" s="1"/>
  <c r="H48" i="45"/>
  <c r="H159" i="12"/>
  <c r="H163" i="12"/>
  <c r="H55" i="45"/>
  <c r="H161" i="12"/>
  <c r="H162" i="12"/>
  <c r="H166" i="12"/>
  <c r="H158" i="12"/>
  <c r="H50" i="45"/>
  <c r="H49" i="45"/>
  <c r="H164" i="12"/>
  <c r="H167" i="12"/>
  <c r="H52" i="45"/>
  <c r="H57" i="45"/>
  <c r="H54" i="45"/>
  <c r="H165" i="12"/>
  <c r="H51" i="45"/>
  <c r="I168" i="12"/>
  <c r="E152" i="12"/>
  <c r="F152" i="12"/>
  <c r="G152" i="12"/>
  <c r="E151" i="12"/>
  <c r="F151" i="12"/>
  <c r="G151" i="12"/>
  <c r="E143" i="12"/>
  <c r="F143" i="12"/>
  <c r="G143" i="12"/>
  <c r="E149" i="12"/>
  <c r="F149" i="12"/>
  <c r="G149" i="12"/>
  <c r="E148" i="12"/>
  <c r="F148" i="12"/>
  <c r="G148" i="12"/>
  <c r="E150" i="12"/>
  <c r="G150" i="12"/>
  <c r="F150" i="12"/>
  <c r="E144" i="12"/>
  <c r="F144" i="12"/>
  <c r="G144" i="12"/>
  <c r="H56" i="45"/>
  <c r="H137" i="12"/>
  <c r="E146" i="12"/>
  <c r="F146" i="12"/>
  <c r="G146" i="12"/>
  <c r="E145" i="12"/>
  <c r="G145" i="12"/>
  <c r="F145" i="12"/>
  <c r="E147" i="12"/>
  <c r="F147" i="12"/>
  <c r="G147" i="12"/>
  <c r="H183" i="12"/>
  <c r="H88" i="12"/>
  <c r="H81" i="12"/>
  <c r="H89" i="12"/>
  <c r="H85" i="12"/>
  <c r="I91" i="12"/>
  <c r="H87" i="12"/>
  <c r="H86" i="12"/>
  <c r="H84" i="12"/>
  <c r="H90" i="12"/>
  <c r="H83" i="12"/>
  <c r="H82" i="12"/>
  <c r="F41" i="12"/>
  <c r="H114" i="45"/>
  <c r="H53" i="45"/>
  <c r="H102" i="45"/>
  <c r="H94" i="45"/>
  <c r="H115" i="45"/>
  <c r="I58" i="45"/>
  <c r="I104" i="45"/>
  <c r="G33" i="45"/>
  <c r="E33" i="45"/>
  <c r="F33" i="45"/>
  <c r="H163" i="45"/>
  <c r="H100" i="45"/>
  <c r="H116" i="45"/>
  <c r="H101" i="45"/>
  <c r="H129" i="45"/>
  <c r="H134" i="45" s="1"/>
  <c r="D42" i="45"/>
  <c r="I42" i="45" s="1"/>
  <c r="D41" i="45"/>
  <c r="I41" i="45" s="1"/>
  <c r="D40" i="45"/>
  <c r="I40" i="45" s="1"/>
  <c r="D39" i="45"/>
  <c r="I39" i="45" s="1"/>
  <c r="D38" i="45"/>
  <c r="I38" i="45" s="1"/>
  <c r="D37" i="45"/>
  <c r="I37" i="45" s="1"/>
  <c r="D36" i="45"/>
  <c r="I36" i="45" s="1"/>
  <c r="D35" i="45"/>
  <c r="I35" i="45" s="1"/>
  <c r="D34" i="45"/>
  <c r="I34" i="45" s="1"/>
  <c r="C64" i="45"/>
  <c r="C65" i="45"/>
  <c r="C66" i="45"/>
  <c r="C67" i="45"/>
  <c r="C68" i="45"/>
  <c r="C69" i="45"/>
  <c r="C70" i="45"/>
  <c r="C71" i="45"/>
  <c r="C72" i="45"/>
  <c r="C63" i="45"/>
  <c r="D63" i="45" s="1"/>
  <c r="E178" i="11"/>
  <c r="E179" i="11"/>
  <c r="E180" i="11"/>
  <c r="E181" i="11"/>
  <c r="E182" i="11"/>
  <c r="E183" i="11"/>
  <c r="E184" i="11"/>
  <c r="E185" i="11"/>
  <c r="E186" i="11"/>
  <c r="E187" i="11"/>
  <c r="E188" i="11"/>
  <c r="E189" i="11"/>
  <c r="E190" i="11"/>
  <c r="E191" i="11"/>
  <c r="D141" i="11"/>
  <c r="E141" i="11" s="1"/>
  <c r="D142" i="11"/>
  <c r="E142" i="11" s="1"/>
  <c r="D143" i="11"/>
  <c r="E143" i="11" s="1"/>
  <c r="D144" i="11"/>
  <c r="E144" i="11" s="1"/>
  <c r="D145" i="11"/>
  <c r="E145" i="11" s="1"/>
  <c r="D146" i="11"/>
  <c r="E146" i="11" s="1"/>
  <c r="D147" i="11"/>
  <c r="E147" i="11" s="1"/>
  <c r="D148" i="11"/>
  <c r="E148" i="11" s="1"/>
  <c r="D149" i="11"/>
  <c r="E149" i="11" s="1"/>
  <c r="D140" i="11"/>
  <c r="E140" i="11" s="1"/>
  <c r="F88" i="11"/>
  <c r="F86" i="11"/>
  <c r="F85" i="11"/>
  <c r="F87" i="11"/>
  <c r="F84" i="11"/>
  <c r="F82" i="11"/>
  <c r="F83" i="11"/>
  <c r="F81" i="11"/>
  <c r="F80" i="11"/>
  <c r="F79" i="11"/>
  <c r="C587" i="11" l="1"/>
  <c r="C590" i="11" s="1"/>
  <c r="H118" i="45"/>
  <c r="H33" i="45"/>
  <c r="H711" i="11"/>
  <c r="H709" i="11"/>
  <c r="H692" i="11"/>
  <c r="H690" i="11"/>
  <c r="H634" i="11"/>
  <c r="H627" i="11"/>
  <c r="H710" i="11"/>
  <c r="H694" i="11"/>
  <c r="H629" i="11"/>
  <c r="H704" i="11"/>
  <c r="H695" i="11"/>
  <c r="H702" i="11"/>
  <c r="H693" i="11"/>
  <c r="H636" i="11"/>
  <c r="H630" i="11"/>
  <c r="H689" i="11"/>
  <c r="H707" i="11"/>
  <c r="H708" i="11"/>
  <c r="I637" i="11"/>
  <c r="H705" i="11"/>
  <c r="H691" i="11"/>
  <c r="H631" i="11"/>
  <c r="H706" i="11"/>
  <c r="H652" i="11"/>
  <c r="B586" i="11" s="1"/>
  <c r="H633" i="11"/>
  <c r="H628" i="11"/>
  <c r="H703" i="11"/>
  <c r="H697" i="11"/>
  <c r="H696" i="11"/>
  <c r="H632" i="11"/>
  <c r="H635" i="11"/>
  <c r="H688" i="11"/>
  <c r="F89" i="11"/>
  <c r="H168" i="12"/>
  <c r="H146" i="12"/>
  <c r="H58" i="45"/>
  <c r="H149" i="12"/>
  <c r="H145" i="12"/>
  <c r="H148" i="12"/>
  <c r="I153" i="12"/>
  <c r="C8" i="12" s="1"/>
  <c r="H151" i="12"/>
  <c r="H152" i="12"/>
  <c r="H143" i="12"/>
  <c r="H147" i="12"/>
  <c r="H144" i="12"/>
  <c r="H150" i="12"/>
  <c r="H91" i="12"/>
  <c r="H104" i="45"/>
  <c r="E34" i="45"/>
  <c r="G34" i="45"/>
  <c r="F34" i="45"/>
  <c r="E37" i="45"/>
  <c r="G37" i="45"/>
  <c r="F37" i="45"/>
  <c r="E40" i="45"/>
  <c r="G40" i="45"/>
  <c r="F40" i="45"/>
  <c r="E35" i="45"/>
  <c r="F35" i="45"/>
  <c r="G35" i="45"/>
  <c r="E38" i="45"/>
  <c r="F38" i="45"/>
  <c r="G38" i="45"/>
  <c r="E41" i="45"/>
  <c r="F41" i="45"/>
  <c r="G41" i="45"/>
  <c r="E36" i="45"/>
  <c r="G36" i="45"/>
  <c r="F36" i="45"/>
  <c r="E39" i="45"/>
  <c r="G39" i="45"/>
  <c r="F39" i="45"/>
  <c r="E42" i="45"/>
  <c r="G42" i="45"/>
  <c r="F42" i="45"/>
  <c r="E148" i="32"/>
  <c r="H698" i="11" l="1"/>
  <c r="H637" i="11"/>
  <c r="H712" i="11"/>
  <c r="H153" i="12"/>
  <c r="B8" i="12" s="1"/>
  <c r="H34" i="45"/>
  <c r="H39" i="45"/>
  <c r="H41" i="45"/>
  <c r="H35" i="45"/>
  <c r="H37" i="45"/>
  <c r="H36" i="45"/>
  <c r="H38" i="45"/>
  <c r="H40" i="45"/>
  <c r="I43" i="45"/>
  <c r="H42" i="45"/>
  <c r="F59" i="60"/>
  <c r="B587" i="11" l="1"/>
  <c r="B590" i="11" s="1"/>
  <c r="H43" i="45"/>
  <c r="B160" i="32"/>
  <c r="B161" i="32" s="1"/>
  <c r="B155" i="32"/>
  <c r="B148" i="32"/>
  <c r="B149" i="32" s="1"/>
  <c r="B143" i="32"/>
  <c r="E160" i="32"/>
  <c r="E155" i="32"/>
  <c r="E149" i="32"/>
  <c r="E143" i="32"/>
  <c r="B159" i="32"/>
  <c r="B158" i="32"/>
  <c r="B157" i="32"/>
  <c r="I161" i="32"/>
  <c r="G161" i="32"/>
  <c r="D161" i="32"/>
  <c r="C161" i="32"/>
  <c r="I149" i="32"/>
  <c r="G149" i="32"/>
  <c r="D149" i="32"/>
  <c r="C149" i="32"/>
  <c r="B162" i="32" l="1"/>
  <c r="E161" i="32"/>
  <c r="L74" i="32" l="1"/>
  <c r="L73" i="32"/>
  <c r="L72" i="32"/>
  <c r="K72" i="32"/>
  <c r="L71" i="32"/>
  <c r="K71" i="32"/>
  <c r="L70" i="32"/>
  <c r="L69" i="32"/>
  <c r="L68" i="32"/>
  <c r="L67" i="32"/>
  <c r="L65" i="32"/>
  <c r="L64" i="32"/>
  <c r="L63" i="32"/>
  <c r="L62" i="32"/>
  <c r="L61" i="32"/>
  <c r="E67" i="32"/>
  <c r="L50" i="32" s="1"/>
  <c r="E68" i="32"/>
  <c r="L51" i="32" s="1"/>
  <c r="E75" i="32"/>
  <c r="E72" i="32"/>
  <c r="L53" i="32" s="1"/>
  <c r="L60" i="32"/>
  <c r="L59" i="32"/>
  <c r="L58" i="32"/>
  <c r="L57" i="32"/>
  <c r="L55" i="32"/>
  <c r="L54" i="32"/>
  <c r="L49" i="32"/>
  <c r="L48" i="32"/>
  <c r="K48" i="32"/>
  <c r="L47" i="32"/>
  <c r="K47" i="32"/>
  <c r="L46" i="32"/>
  <c r="L45" i="32"/>
  <c r="L36" i="32"/>
  <c r="L35" i="32"/>
  <c r="L34" i="32"/>
  <c r="L33" i="32"/>
  <c r="L32" i="32"/>
  <c r="L31" i="32"/>
  <c r="L30" i="32"/>
  <c r="L29" i="32"/>
  <c r="L28" i="32"/>
  <c r="L27" i="32"/>
  <c r="L26" i="32"/>
  <c r="L25" i="32"/>
  <c r="L24" i="32"/>
  <c r="L23" i="32"/>
  <c r="L22" i="32"/>
  <c r="L21" i="32"/>
  <c r="L20" i="32"/>
  <c r="L19" i="32"/>
  <c r="L17" i="32"/>
  <c r="L16" i="32"/>
  <c r="K11" i="32"/>
  <c r="L13" i="32"/>
  <c r="K13" i="32"/>
  <c r="L12" i="32"/>
  <c r="L11" i="32"/>
  <c r="L10" i="32"/>
  <c r="L9" i="32"/>
  <c r="L8" i="32"/>
  <c r="L7" i="32"/>
  <c r="L6" i="32"/>
  <c r="L5" i="32"/>
  <c r="L4" i="32"/>
  <c r="L3" i="32"/>
  <c r="L2" i="32"/>
  <c r="D1187" i="44" l="1"/>
  <c r="G99" i="11" s="1" a="1"/>
  <c r="G99" i="11" s="1"/>
  <c r="B8" i="11" l="1"/>
  <c r="L174" i="12" l="1"/>
  <c r="M174" i="12" s="1"/>
  <c r="N174" i="12" s="1"/>
  <c r="L177" i="12"/>
  <c r="M177" i="12" s="1"/>
  <c r="N177" i="12" s="1"/>
  <c r="L180" i="12"/>
  <c r="M180" i="12" s="1"/>
  <c r="N180" i="12" s="1"/>
  <c r="L84" i="12"/>
  <c r="M84" i="12" s="1"/>
  <c r="N84" i="12" s="1"/>
  <c r="L85" i="12"/>
  <c r="M85" i="12" s="1"/>
  <c r="N85" i="12" s="1"/>
  <c r="L90" i="12"/>
  <c r="M90" i="12" s="1"/>
  <c r="N90" i="12" s="1"/>
  <c r="D234" i="45"/>
  <c r="D230" i="45"/>
  <c r="D231" i="45"/>
  <c r="D232" i="45"/>
  <c r="D233" i="45"/>
  <c r="D235" i="45"/>
  <c r="D236" i="45"/>
  <c r="D237" i="45"/>
  <c r="D238" i="45"/>
  <c r="D229" i="45"/>
  <c r="D185" i="45"/>
  <c r="D186" i="45"/>
  <c r="D187" i="45"/>
  <c r="D188" i="45"/>
  <c r="D189" i="45"/>
  <c r="D190" i="45"/>
  <c r="D191" i="45"/>
  <c r="D192" i="45"/>
  <c r="D193" i="45"/>
  <c r="D72" i="45"/>
  <c r="E72" i="45" s="1"/>
  <c r="J72" i="45" s="1"/>
  <c r="D64" i="45"/>
  <c r="E64" i="45" s="1"/>
  <c r="J64" i="45" s="1"/>
  <c r="D66" i="45"/>
  <c r="E66" i="45" s="1"/>
  <c r="J66" i="45" s="1"/>
  <c r="D67" i="45"/>
  <c r="E67" i="45" s="1"/>
  <c r="J67" i="45" s="1"/>
  <c r="D69" i="45"/>
  <c r="E69" i="45" s="1"/>
  <c r="J69" i="45" s="1"/>
  <c r="D70" i="45"/>
  <c r="E70" i="45" s="1"/>
  <c r="J70" i="45" s="1"/>
  <c r="E63" i="45"/>
  <c r="J63" i="45" s="1"/>
  <c r="C223" i="45"/>
  <c r="D223" i="45" s="1"/>
  <c r="C222" i="45"/>
  <c r="C221" i="45"/>
  <c r="D221" i="45" s="1"/>
  <c r="C220" i="45"/>
  <c r="D220" i="45" s="1"/>
  <c r="C219" i="45"/>
  <c r="C218" i="45"/>
  <c r="D218" i="45" s="1"/>
  <c r="C217" i="45"/>
  <c r="D217" i="45" s="1"/>
  <c r="C216" i="45"/>
  <c r="D216" i="45" s="1"/>
  <c r="C215" i="45"/>
  <c r="C214" i="45"/>
  <c r="C209" i="45"/>
  <c r="C208" i="45"/>
  <c r="C207" i="45"/>
  <c r="D207" i="45" s="1"/>
  <c r="I207" i="45" s="1"/>
  <c r="C206" i="45"/>
  <c r="C205" i="45"/>
  <c r="D205" i="45" s="1"/>
  <c r="I205" i="45" s="1"/>
  <c r="C204" i="45"/>
  <c r="C203" i="45"/>
  <c r="D203" i="45" s="1"/>
  <c r="I203" i="45" s="1"/>
  <c r="C202" i="45"/>
  <c r="C201" i="45"/>
  <c r="C200" i="45"/>
  <c r="C178" i="45"/>
  <c r="D178" i="45" s="1"/>
  <c r="C177" i="45"/>
  <c r="D177" i="45" s="1"/>
  <c r="C176" i="45"/>
  <c r="D176" i="45" s="1"/>
  <c r="C175" i="45"/>
  <c r="D175" i="45" s="1"/>
  <c r="C174" i="45"/>
  <c r="D174" i="45" s="1"/>
  <c r="C173" i="45"/>
  <c r="D173" i="45" s="1"/>
  <c r="C172" i="45"/>
  <c r="D172" i="45" s="1"/>
  <c r="C171" i="45"/>
  <c r="D171" i="45" s="1"/>
  <c r="C170" i="45"/>
  <c r="D170" i="45" s="1"/>
  <c r="C169" i="45"/>
  <c r="C148" i="45"/>
  <c r="D148" i="45" s="1"/>
  <c r="C147" i="45"/>
  <c r="D147" i="45" s="1"/>
  <c r="C146" i="45"/>
  <c r="D146" i="45" s="1"/>
  <c r="C145" i="45"/>
  <c r="D145" i="45" s="1"/>
  <c r="C144" i="45"/>
  <c r="D144" i="45" s="1"/>
  <c r="C143" i="45"/>
  <c r="D143" i="45" s="1"/>
  <c r="C142" i="45"/>
  <c r="D142" i="45" s="1"/>
  <c r="C141" i="45"/>
  <c r="D141" i="45" s="1"/>
  <c r="C140" i="45"/>
  <c r="D140" i="45" s="1"/>
  <c r="C88" i="45"/>
  <c r="D88" i="45" s="1"/>
  <c r="C87" i="45"/>
  <c r="C86" i="45"/>
  <c r="C85" i="45"/>
  <c r="C84" i="45"/>
  <c r="C83" i="45"/>
  <c r="C82" i="45"/>
  <c r="C81" i="45"/>
  <c r="D81" i="45" s="1"/>
  <c r="C80" i="45"/>
  <c r="C79" i="45"/>
  <c r="D79" i="45" s="1"/>
  <c r="D71" i="45"/>
  <c r="E71" i="45" s="1"/>
  <c r="J71" i="45" s="1"/>
  <c r="D68" i="45"/>
  <c r="E68" i="45" s="1"/>
  <c r="J68" i="45" s="1"/>
  <c r="D65" i="45"/>
  <c r="E65" i="45" s="1"/>
  <c r="J65" i="45" s="1"/>
  <c r="C26" i="45"/>
  <c r="D26" i="45" s="1"/>
  <c r="I26" i="45" s="1"/>
  <c r="C25" i="45"/>
  <c r="C24" i="45"/>
  <c r="D24" i="45" s="1"/>
  <c r="I24" i="45" s="1"/>
  <c r="C23" i="45"/>
  <c r="D23" i="45" s="1"/>
  <c r="I23" i="45" s="1"/>
  <c r="C22" i="45"/>
  <c r="C21" i="45"/>
  <c r="D21" i="45" s="1"/>
  <c r="I21" i="45" s="1"/>
  <c r="C20" i="45"/>
  <c r="D20" i="45" s="1"/>
  <c r="I20" i="45" s="1"/>
  <c r="C19" i="45"/>
  <c r="C18" i="45"/>
  <c r="D18" i="45" s="1"/>
  <c r="I18" i="45" s="1"/>
  <c r="C17" i="45"/>
  <c r="D17" i="45" s="1"/>
  <c r="I17" i="45" s="1"/>
  <c r="B62" i="3"/>
  <c r="B63" i="3" s="1"/>
  <c r="E73" i="3"/>
  <c r="F30" i="3"/>
  <c r="F29" i="3"/>
  <c r="F28" i="3"/>
  <c r="L166" i="12"/>
  <c r="M166" i="12" s="1"/>
  <c r="N166" i="12" s="1"/>
  <c r="L163" i="12"/>
  <c r="M163" i="12" s="1"/>
  <c r="N163" i="12" s="1"/>
  <c r="L160" i="12"/>
  <c r="M160" i="12" s="1"/>
  <c r="N160" i="12" s="1"/>
  <c r="L152" i="12"/>
  <c r="M152" i="12" s="1"/>
  <c r="N152" i="12" s="1"/>
  <c r="L149" i="12"/>
  <c r="M149" i="12" s="1"/>
  <c r="N149" i="12" s="1"/>
  <c r="L146" i="12"/>
  <c r="M146" i="12" s="1"/>
  <c r="N146" i="12" s="1"/>
  <c r="L143" i="12"/>
  <c r="M143" i="12" s="1"/>
  <c r="N143" i="12" s="1"/>
  <c r="L136" i="12"/>
  <c r="M136" i="12" s="1"/>
  <c r="N136" i="12" s="1"/>
  <c r="L135" i="12"/>
  <c r="M135" i="12" s="1"/>
  <c r="N135" i="12" s="1"/>
  <c r="L134" i="12"/>
  <c r="M134" i="12" s="1"/>
  <c r="N134" i="12" s="1"/>
  <c r="L133" i="12"/>
  <c r="M133" i="12" s="1"/>
  <c r="N133" i="12" s="1"/>
  <c r="L132" i="12"/>
  <c r="M132" i="12" s="1"/>
  <c r="N132" i="12" s="1"/>
  <c r="L131" i="12"/>
  <c r="M131" i="12" s="1"/>
  <c r="N131" i="12" s="1"/>
  <c r="L130" i="12"/>
  <c r="M130" i="12" s="1"/>
  <c r="N130" i="12" s="1"/>
  <c r="L129" i="12"/>
  <c r="M129" i="12" s="1"/>
  <c r="N129" i="12" s="1"/>
  <c r="L128" i="12"/>
  <c r="M128" i="12" s="1"/>
  <c r="N128" i="12" s="1"/>
  <c r="L127" i="12"/>
  <c r="M127" i="12" s="1"/>
  <c r="N127" i="12" s="1"/>
  <c r="L120" i="12"/>
  <c r="M120" i="12" s="1"/>
  <c r="N120" i="12" s="1"/>
  <c r="L119" i="12"/>
  <c r="M119" i="12" s="1"/>
  <c r="N119" i="12" s="1"/>
  <c r="L118" i="12"/>
  <c r="M118" i="12" s="1"/>
  <c r="N118" i="12" s="1"/>
  <c r="L117" i="12"/>
  <c r="M117" i="12" s="1"/>
  <c r="N117" i="12" s="1"/>
  <c r="L116" i="12"/>
  <c r="M116" i="12" s="1"/>
  <c r="N116" i="12" s="1"/>
  <c r="L115" i="12"/>
  <c r="M115" i="12" s="1"/>
  <c r="N115" i="12" s="1"/>
  <c r="L114" i="12"/>
  <c r="M114" i="12" s="1"/>
  <c r="N114" i="12" s="1"/>
  <c r="L113" i="12"/>
  <c r="M113" i="12" s="1"/>
  <c r="N113" i="12" s="1"/>
  <c r="L112" i="12"/>
  <c r="M112" i="12" s="1"/>
  <c r="N112" i="12" s="1"/>
  <c r="L111" i="12"/>
  <c r="M111" i="12" s="1"/>
  <c r="N111" i="12" s="1"/>
  <c r="L106" i="12"/>
  <c r="M106" i="12" s="1"/>
  <c r="N106" i="12" s="1"/>
  <c r="C106" i="12"/>
  <c r="D106" i="12" s="1"/>
  <c r="L105" i="12"/>
  <c r="M105" i="12" s="1"/>
  <c r="N105" i="12" s="1"/>
  <c r="C105" i="12"/>
  <c r="D105" i="12" s="1"/>
  <c r="L104" i="12"/>
  <c r="M104" i="12" s="1"/>
  <c r="N104" i="12" s="1"/>
  <c r="C104" i="12"/>
  <c r="D104" i="12" s="1"/>
  <c r="L103" i="12"/>
  <c r="M103" i="12" s="1"/>
  <c r="N103" i="12" s="1"/>
  <c r="C103" i="12"/>
  <c r="D103" i="12" s="1"/>
  <c r="L102" i="12"/>
  <c r="M102" i="12" s="1"/>
  <c r="N102" i="12" s="1"/>
  <c r="C102" i="12"/>
  <c r="D102" i="12" s="1"/>
  <c r="L101" i="12"/>
  <c r="M101" i="12" s="1"/>
  <c r="N101" i="12" s="1"/>
  <c r="C101" i="12"/>
  <c r="D101" i="12" s="1"/>
  <c r="L100" i="12"/>
  <c r="M100" i="12" s="1"/>
  <c r="N100" i="12" s="1"/>
  <c r="C100" i="12"/>
  <c r="D100" i="12" s="1"/>
  <c r="L99" i="12"/>
  <c r="M99" i="12" s="1"/>
  <c r="N99" i="12" s="1"/>
  <c r="C99" i="12"/>
  <c r="D99" i="12" s="1"/>
  <c r="L98" i="12"/>
  <c r="M98" i="12" s="1"/>
  <c r="N98" i="12" s="1"/>
  <c r="C98" i="12"/>
  <c r="D98" i="12" s="1"/>
  <c r="L97" i="12"/>
  <c r="M97" i="12" s="1"/>
  <c r="N97" i="12" s="1"/>
  <c r="C97" i="12"/>
  <c r="D97" i="12" s="1"/>
  <c r="L75" i="12"/>
  <c r="M75" i="12" s="1"/>
  <c r="N75" i="12" s="1"/>
  <c r="C75" i="12"/>
  <c r="L74" i="12"/>
  <c r="M74" i="12" s="1"/>
  <c r="N74" i="12" s="1"/>
  <c r="C74" i="12"/>
  <c r="L73" i="12"/>
  <c r="M73" i="12" s="1"/>
  <c r="N73" i="12" s="1"/>
  <c r="C73" i="12"/>
  <c r="L72" i="12"/>
  <c r="M72" i="12" s="1"/>
  <c r="N72" i="12" s="1"/>
  <c r="C72" i="12"/>
  <c r="L71" i="12"/>
  <c r="M71" i="12" s="1"/>
  <c r="N71" i="12" s="1"/>
  <c r="C71" i="12"/>
  <c r="L70" i="12"/>
  <c r="M70" i="12" s="1"/>
  <c r="N70" i="12" s="1"/>
  <c r="C70" i="12"/>
  <c r="L69" i="12"/>
  <c r="M69" i="12" s="1"/>
  <c r="N69" i="12" s="1"/>
  <c r="C69" i="12"/>
  <c r="L68" i="12"/>
  <c r="M68" i="12" s="1"/>
  <c r="N68" i="12" s="1"/>
  <c r="C68" i="12"/>
  <c r="L67" i="12"/>
  <c r="M67" i="12" s="1"/>
  <c r="N67" i="12" s="1"/>
  <c r="C67" i="12"/>
  <c r="L66" i="12"/>
  <c r="M66" i="12" s="1"/>
  <c r="N66" i="12" s="1"/>
  <c r="C66" i="12"/>
  <c r="C59" i="12"/>
  <c r="D59" i="12" s="1"/>
  <c r="C55" i="12"/>
  <c r="D55" i="12" s="1"/>
  <c r="C54" i="12"/>
  <c r="D54" i="12" s="1"/>
  <c r="C53" i="12"/>
  <c r="D53" i="12" s="1"/>
  <c r="C52" i="12"/>
  <c r="D52" i="12" s="1"/>
  <c r="C51" i="12"/>
  <c r="D51" i="12" s="1"/>
  <c r="C50" i="12"/>
  <c r="D50" i="12" s="1"/>
  <c r="C49" i="12"/>
  <c r="D49" i="12" s="1"/>
  <c r="C48" i="12"/>
  <c r="D48" i="12" s="1"/>
  <c r="C47" i="12"/>
  <c r="D47" i="12" s="1"/>
  <c r="I47" i="12" s="1"/>
  <c r="C25" i="12"/>
  <c r="C24" i="12"/>
  <c r="C23" i="12"/>
  <c r="C22" i="12"/>
  <c r="C21" i="12"/>
  <c r="C20" i="12"/>
  <c r="C19" i="12"/>
  <c r="C18" i="12"/>
  <c r="C17" i="12"/>
  <c r="I175" i="45" l="1"/>
  <c r="G175" i="45"/>
  <c r="E175" i="45"/>
  <c r="F175" i="45"/>
  <c r="I176" i="45"/>
  <c r="F176" i="45"/>
  <c r="G176" i="45"/>
  <c r="E176" i="45"/>
  <c r="F191" i="45"/>
  <c r="G191" i="45"/>
  <c r="E191" i="45"/>
  <c r="I177" i="45"/>
  <c r="E177" i="45"/>
  <c r="G177" i="45"/>
  <c r="F177" i="45"/>
  <c r="G190" i="45"/>
  <c r="E190" i="45"/>
  <c r="F190" i="45"/>
  <c r="I170" i="45"/>
  <c r="F170" i="45"/>
  <c r="E170" i="45"/>
  <c r="G170" i="45"/>
  <c r="I178" i="45"/>
  <c r="F178" i="45"/>
  <c r="E178" i="45"/>
  <c r="G178" i="45"/>
  <c r="E189" i="45"/>
  <c r="F189" i="45"/>
  <c r="G189" i="45"/>
  <c r="G192" i="45"/>
  <c r="E192" i="45"/>
  <c r="F192" i="45"/>
  <c r="I171" i="45"/>
  <c r="G171" i="45"/>
  <c r="F171" i="45"/>
  <c r="E171" i="45"/>
  <c r="G188" i="45"/>
  <c r="F188" i="45"/>
  <c r="E188" i="45"/>
  <c r="I172" i="45"/>
  <c r="F172" i="45"/>
  <c r="E172" i="45"/>
  <c r="G172" i="45"/>
  <c r="G187" i="45"/>
  <c r="E187" i="45"/>
  <c r="F187" i="45"/>
  <c r="I173" i="45"/>
  <c r="G173" i="45"/>
  <c r="E173" i="45"/>
  <c r="F173" i="45"/>
  <c r="E186" i="45"/>
  <c r="G186" i="45"/>
  <c r="F186" i="45"/>
  <c r="I174" i="45"/>
  <c r="F174" i="45"/>
  <c r="G174" i="45"/>
  <c r="E174" i="45"/>
  <c r="G193" i="45"/>
  <c r="E193" i="45"/>
  <c r="F193" i="45"/>
  <c r="G185" i="45"/>
  <c r="E185" i="45"/>
  <c r="F185" i="45"/>
  <c r="D169" i="45"/>
  <c r="B7" i="3"/>
  <c r="D18" i="12"/>
  <c r="F18" i="12"/>
  <c r="E18" i="12"/>
  <c r="D21" i="12"/>
  <c r="E21" i="12"/>
  <c r="F21" i="12"/>
  <c r="D24" i="12"/>
  <c r="E24" i="12"/>
  <c r="F24" i="12"/>
  <c r="E99" i="12"/>
  <c r="F99" i="12"/>
  <c r="G99" i="12"/>
  <c r="E102" i="12"/>
  <c r="F102" i="12"/>
  <c r="G102" i="12"/>
  <c r="E105" i="12"/>
  <c r="G105" i="12"/>
  <c r="F105" i="12"/>
  <c r="D19" i="12"/>
  <c r="E19" i="12"/>
  <c r="F19" i="12"/>
  <c r="D22" i="12"/>
  <c r="E22" i="12"/>
  <c r="F22" i="12"/>
  <c r="D25" i="12"/>
  <c r="F25" i="12"/>
  <c r="E25" i="12"/>
  <c r="E98" i="12"/>
  <c r="G98" i="12"/>
  <c r="F98" i="12"/>
  <c r="E101" i="12"/>
  <c r="F101" i="12"/>
  <c r="G101" i="12"/>
  <c r="E104" i="12"/>
  <c r="F104" i="12"/>
  <c r="G104" i="12"/>
  <c r="D17" i="12"/>
  <c r="E17" i="12"/>
  <c r="F17" i="12"/>
  <c r="D20" i="12"/>
  <c r="F20" i="12"/>
  <c r="E20" i="12"/>
  <c r="D23" i="12"/>
  <c r="F23" i="12"/>
  <c r="E23" i="12"/>
  <c r="G97" i="12"/>
  <c r="E97" i="12"/>
  <c r="F97" i="12"/>
  <c r="E100" i="12"/>
  <c r="G100" i="12"/>
  <c r="F100" i="12"/>
  <c r="E103" i="12"/>
  <c r="G103" i="12"/>
  <c r="F103" i="12"/>
  <c r="E106" i="12"/>
  <c r="F106" i="12"/>
  <c r="G106" i="12"/>
  <c r="E79" i="45"/>
  <c r="F79" i="45" s="1"/>
  <c r="G79" i="45" s="1"/>
  <c r="I79" i="45"/>
  <c r="D239" i="45"/>
  <c r="B5" i="3"/>
  <c r="F69" i="32" s="1"/>
  <c r="H18" i="12"/>
  <c r="H21" i="12"/>
  <c r="H24" i="12"/>
  <c r="F48" i="12"/>
  <c r="E48" i="12"/>
  <c r="G48" i="12"/>
  <c r="F51" i="12"/>
  <c r="E51" i="12"/>
  <c r="G51" i="12"/>
  <c r="F54" i="12"/>
  <c r="E54" i="12"/>
  <c r="G54" i="12"/>
  <c r="I99" i="12"/>
  <c r="I102" i="12"/>
  <c r="I105" i="12"/>
  <c r="H19" i="12"/>
  <c r="H22" i="12"/>
  <c r="H25" i="12"/>
  <c r="F49" i="12"/>
  <c r="G49" i="12"/>
  <c r="E49" i="12"/>
  <c r="F52" i="12"/>
  <c r="G52" i="12"/>
  <c r="E52" i="12"/>
  <c r="F55" i="12"/>
  <c r="G55" i="12"/>
  <c r="E55" i="12"/>
  <c r="I98" i="12"/>
  <c r="I101" i="12"/>
  <c r="I104" i="12"/>
  <c r="H17" i="12"/>
  <c r="H20" i="12"/>
  <c r="H23" i="12"/>
  <c r="F47" i="12"/>
  <c r="G47" i="12"/>
  <c r="E47" i="12"/>
  <c r="F50" i="12"/>
  <c r="E50" i="12"/>
  <c r="G50" i="12"/>
  <c r="F53" i="12"/>
  <c r="E53" i="12"/>
  <c r="G53" i="12"/>
  <c r="F59" i="12"/>
  <c r="E59" i="12"/>
  <c r="G59" i="12"/>
  <c r="I97" i="12"/>
  <c r="I100" i="12"/>
  <c r="I103" i="12"/>
  <c r="I106" i="12"/>
  <c r="D66" i="12"/>
  <c r="D69" i="12"/>
  <c r="D72" i="12"/>
  <c r="D75" i="12"/>
  <c r="D68" i="12"/>
  <c r="D71" i="12"/>
  <c r="D74" i="12"/>
  <c r="D67" i="12"/>
  <c r="D70" i="12"/>
  <c r="D73" i="12"/>
  <c r="I48" i="12"/>
  <c r="I51" i="12"/>
  <c r="I54" i="12"/>
  <c r="I49" i="12"/>
  <c r="I52" i="12"/>
  <c r="I55" i="12"/>
  <c r="I50" i="12"/>
  <c r="I53" i="12"/>
  <c r="I59" i="12"/>
  <c r="L88" i="12"/>
  <c r="M88" i="12" s="1"/>
  <c r="N88" i="12" s="1"/>
  <c r="E218" i="45"/>
  <c r="F218" i="45" s="1"/>
  <c r="G218" i="45" s="1"/>
  <c r="I218" i="45"/>
  <c r="E221" i="45"/>
  <c r="F221" i="45" s="1"/>
  <c r="G221" i="45" s="1"/>
  <c r="I221" i="45"/>
  <c r="E216" i="45"/>
  <c r="F216" i="45" s="1"/>
  <c r="G216" i="45" s="1"/>
  <c r="I216" i="45"/>
  <c r="E217" i="45"/>
  <c r="F217" i="45" s="1"/>
  <c r="G217" i="45" s="1"/>
  <c r="I217" i="45"/>
  <c r="E220" i="45"/>
  <c r="F220" i="45" s="1"/>
  <c r="G220" i="45" s="1"/>
  <c r="I220" i="45"/>
  <c r="E223" i="45"/>
  <c r="F223" i="45" s="1"/>
  <c r="G223" i="45" s="1"/>
  <c r="I223" i="45"/>
  <c r="D214" i="45"/>
  <c r="I214" i="45" s="1"/>
  <c r="D215" i="45"/>
  <c r="D219" i="45"/>
  <c r="D222" i="45"/>
  <c r="I222" i="45" s="1"/>
  <c r="E205" i="45"/>
  <c r="F205" i="45"/>
  <c r="G205" i="45"/>
  <c r="E203" i="45"/>
  <c r="F203" i="45"/>
  <c r="G203" i="45"/>
  <c r="E207" i="45"/>
  <c r="F207" i="45"/>
  <c r="G207" i="45"/>
  <c r="D208" i="45"/>
  <c r="I208" i="45" s="1"/>
  <c r="D200" i="45"/>
  <c r="I200" i="45" s="1"/>
  <c r="D206" i="45"/>
  <c r="I206" i="45" s="1"/>
  <c r="D209" i="45"/>
  <c r="I209" i="45" s="1"/>
  <c r="D202" i="45"/>
  <c r="I202" i="45" s="1"/>
  <c r="D201" i="45"/>
  <c r="I201" i="45" s="1"/>
  <c r="D204" i="45"/>
  <c r="I204" i="45" s="1"/>
  <c r="I192" i="45"/>
  <c r="I189" i="45"/>
  <c r="I191" i="45"/>
  <c r="I188" i="45"/>
  <c r="I185" i="45"/>
  <c r="I186" i="45"/>
  <c r="I193" i="45"/>
  <c r="I190" i="45"/>
  <c r="I187" i="45"/>
  <c r="E142" i="45"/>
  <c r="I142" i="45"/>
  <c r="E145" i="45"/>
  <c r="I145" i="45"/>
  <c r="E148" i="45"/>
  <c r="I148" i="45"/>
  <c r="E140" i="45"/>
  <c r="I140" i="45"/>
  <c r="E143" i="45"/>
  <c r="I143" i="45"/>
  <c r="E146" i="45"/>
  <c r="I146" i="45"/>
  <c r="E141" i="45"/>
  <c r="I141" i="45"/>
  <c r="E144" i="45"/>
  <c r="I144" i="45"/>
  <c r="E147" i="45"/>
  <c r="I147" i="45"/>
  <c r="I81" i="45"/>
  <c r="E81" i="45"/>
  <c r="F81" i="45" s="1"/>
  <c r="G81" i="45" s="1"/>
  <c r="I88" i="45"/>
  <c r="E88" i="45"/>
  <c r="F88" i="45" s="1"/>
  <c r="G88" i="45" s="1"/>
  <c r="G21" i="45"/>
  <c r="F21" i="45"/>
  <c r="H64" i="45"/>
  <c r="G64" i="45"/>
  <c r="H68" i="45"/>
  <c r="G68" i="45"/>
  <c r="G63" i="45"/>
  <c r="H63" i="45"/>
  <c r="H67" i="45"/>
  <c r="G67" i="45"/>
  <c r="G72" i="45"/>
  <c r="H72" i="45"/>
  <c r="G18" i="45"/>
  <c r="F18" i="45"/>
  <c r="G24" i="45"/>
  <c r="F24" i="45"/>
  <c r="H65" i="45"/>
  <c r="G65" i="45"/>
  <c r="G69" i="45"/>
  <c r="H69" i="45"/>
  <c r="G17" i="45"/>
  <c r="F17" i="45"/>
  <c r="G20" i="45"/>
  <c r="F20" i="45"/>
  <c r="G23" i="45"/>
  <c r="F23" i="45"/>
  <c r="G26" i="45"/>
  <c r="F26" i="45"/>
  <c r="H71" i="45"/>
  <c r="G71" i="45"/>
  <c r="H70" i="45"/>
  <c r="G70" i="45"/>
  <c r="G66" i="45"/>
  <c r="H66" i="45"/>
  <c r="D85" i="45"/>
  <c r="D80" i="45"/>
  <c r="D83" i="45"/>
  <c r="D86" i="45"/>
  <c r="D82" i="45"/>
  <c r="D84" i="45"/>
  <c r="D87" i="45"/>
  <c r="F64" i="45"/>
  <c r="F68" i="45"/>
  <c r="F69" i="45"/>
  <c r="F66" i="45"/>
  <c r="F72" i="45"/>
  <c r="F65" i="45"/>
  <c r="F70" i="45"/>
  <c r="F67" i="45"/>
  <c r="F71" i="45"/>
  <c r="F63" i="45"/>
  <c r="E17" i="45"/>
  <c r="E20" i="45"/>
  <c r="E23" i="45"/>
  <c r="E26" i="45"/>
  <c r="E18" i="45"/>
  <c r="E21" i="45"/>
  <c r="E24" i="45"/>
  <c r="D19" i="45"/>
  <c r="I19" i="45" s="1"/>
  <c r="D22" i="45"/>
  <c r="I22" i="45" s="1"/>
  <c r="D25" i="45"/>
  <c r="I25" i="45" s="1"/>
  <c r="B4" i="3"/>
  <c r="L82" i="12"/>
  <c r="M82" i="12" s="1"/>
  <c r="N82" i="12" s="1"/>
  <c r="F70" i="32"/>
  <c r="M52" i="32" s="1"/>
  <c r="L87" i="12"/>
  <c r="M87" i="12" s="1"/>
  <c r="N87" i="12" s="1"/>
  <c r="L81" i="12"/>
  <c r="M81" i="12" s="1"/>
  <c r="N81" i="12" s="1"/>
  <c r="L86" i="12"/>
  <c r="M86" i="12" s="1"/>
  <c r="N86" i="12" s="1"/>
  <c r="L83" i="12"/>
  <c r="M83" i="12" s="1"/>
  <c r="N83" i="12" s="1"/>
  <c r="L89" i="12"/>
  <c r="M89" i="12" s="1"/>
  <c r="N89" i="12" s="1"/>
  <c r="L173" i="12"/>
  <c r="M173" i="12" s="1"/>
  <c r="N173" i="12" s="1"/>
  <c r="L176" i="12"/>
  <c r="M176" i="12" s="1"/>
  <c r="N176" i="12" s="1"/>
  <c r="L179" i="12"/>
  <c r="M179" i="12" s="1"/>
  <c r="N179" i="12" s="1"/>
  <c r="L182" i="12"/>
  <c r="M182" i="12" s="1"/>
  <c r="N182" i="12" s="1"/>
  <c r="L145" i="12"/>
  <c r="M145" i="12" s="1"/>
  <c r="N145" i="12" s="1"/>
  <c r="L148" i="12"/>
  <c r="M148" i="12" s="1"/>
  <c r="N148" i="12" s="1"/>
  <c r="L151" i="12"/>
  <c r="M151" i="12" s="1"/>
  <c r="N151" i="12" s="1"/>
  <c r="L159" i="12"/>
  <c r="M159" i="12" s="1"/>
  <c r="N159" i="12" s="1"/>
  <c r="L162" i="12"/>
  <c r="M162" i="12" s="1"/>
  <c r="N162" i="12" s="1"/>
  <c r="L165" i="12"/>
  <c r="M165" i="12" s="1"/>
  <c r="N165" i="12" s="1"/>
  <c r="L175" i="12"/>
  <c r="M175" i="12" s="1"/>
  <c r="N175" i="12" s="1"/>
  <c r="L178" i="12"/>
  <c r="M178" i="12" s="1"/>
  <c r="N178" i="12" s="1"/>
  <c r="L181" i="12"/>
  <c r="M181" i="12" s="1"/>
  <c r="N181" i="12" s="1"/>
  <c r="L144" i="12"/>
  <c r="M144" i="12" s="1"/>
  <c r="N144" i="12" s="1"/>
  <c r="L147" i="12"/>
  <c r="M147" i="12" s="1"/>
  <c r="N147" i="12" s="1"/>
  <c r="L150" i="12"/>
  <c r="M150" i="12" s="1"/>
  <c r="N150" i="12" s="1"/>
  <c r="L158" i="12"/>
  <c r="M158" i="12" s="1"/>
  <c r="N158" i="12" s="1"/>
  <c r="L161" i="12"/>
  <c r="M161" i="12" s="1"/>
  <c r="N161" i="12" s="1"/>
  <c r="L164" i="12"/>
  <c r="M164" i="12" s="1"/>
  <c r="N164" i="12" s="1"/>
  <c r="L167" i="12"/>
  <c r="M167" i="12" s="1"/>
  <c r="N167" i="12" s="1"/>
  <c r="F169" i="45" l="1"/>
  <c r="G169" i="45"/>
  <c r="I169" i="45"/>
  <c r="I179" i="45" s="1"/>
  <c r="E169" i="45"/>
  <c r="H169" i="45" s="1"/>
  <c r="E74" i="12"/>
  <c r="G74" i="12"/>
  <c r="F74" i="12"/>
  <c r="G73" i="12"/>
  <c r="E73" i="12"/>
  <c r="F73" i="12"/>
  <c r="F75" i="12"/>
  <c r="G75" i="12"/>
  <c r="E75" i="12"/>
  <c r="G70" i="12"/>
  <c r="F70" i="12"/>
  <c r="E70" i="12"/>
  <c r="E71" i="12"/>
  <c r="G71" i="12"/>
  <c r="F71" i="12"/>
  <c r="F72" i="12"/>
  <c r="G72" i="12"/>
  <c r="E72" i="12"/>
  <c r="E68" i="12"/>
  <c r="G68" i="12"/>
  <c r="F68" i="12"/>
  <c r="F69" i="12"/>
  <c r="G69" i="12"/>
  <c r="E69" i="12"/>
  <c r="G66" i="12"/>
  <c r="F66" i="12"/>
  <c r="E66" i="12"/>
  <c r="G67" i="12"/>
  <c r="F67" i="12"/>
  <c r="E67" i="12"/>
  <c r="H17" i="45"/>
  <c r="H47" i="12"/>
  <c r="G24" i="12"/>
  <c r="H26" i="12"/>
  <c r="G17" i="12"/>
  <c r="G21" i="12"/>
  <c r="I67" i="12"/>
  <c r="I68" i="12"/>
  <c r="I69" i="12"/>
  <c r="I60" i="12"/>
  <c r="I73" i="12"/>
  <c r="I74" i="12"/>
  <c r="I75" i="12"/>
  <c r="I66" i="12"/>
  <c r="G23" i="12"/>
  <c r="G22" i="12"/>
  <c r="G18" i="12"/>
  <c r="I70" i="12"/>
  <c r="I71" i="12"/>
  <c r="I72" i="12"/>
  <c r="I107" i="12"/>
  <c r="G20" i="12"/>
  <c r="G25" i="12"/>
  <c r="G19" i="12"/>
  <c r="H48" i="12"/>
  <c r="H50" i="12"/>
  <c r="H100" i="12"/>
  <c r="H97" i="12"/>
  <c r="E219" i="45"/>
  <c r="F219" i="45" s="1"/>
  <c r="G219" i="45" s="1"/>
  <c r="I219" i="45"/>
  <c r="E215" i="45"/>
  <c r="F215" i="45" s="1"/>
  <c r="G215" i="45" s="1"/>
  <c r="I215" i="45"/>
  <c r="E222" i="45"/>
  <c r="F222" i="45" s="1"/>
  <c r="G222" i="45" s="1"/>
  <c r="E214" i="45"/>
  <c r="F214" i="45" s="1"/>
  <c r="G214" i="45" s="1"/>
  <c r="I210" i="45"/>
  <c r="E201" i="45"/>
  <c r="F201" i="45"/>
  <c r="G201" i="45"/>
  <c r="E206" i="45"/>
  <c r="F206" i="45"/>
  <c r="G206" i="45"/>
  <c r="E202" i="45"/>
  <c r="F202" i="45"/>
  <c r="G202" i="45"/>
  <c r="G200" i="45"/>
  <c r="F200" i="45"/>
  <c r="E200" i="45"/>
  <c r="H186" i="45"/>
  <c r="E204" i="45"/>
  <c r="F204" i="45"/>
  <c r="G204" i="45"/>
  <c r="E209" i="45"/>
  <c r="F209" i="45"/>
  <c r="G209" i="45"/>
  <c r="E208" i="45"/>
  <c r="F208" i="45"/>
  <c r="G208" i="45"/>
  <c r="H190" i="45"/>
  <c r="H187" i="45"/>
  <c r="H191" i="45"/>
  <c r="H185" i="45"/>
  <c r="H189" i="45"/>
  <c r="H193" i="45"/>
  <c r="I194" i="45"/>
  <c r="H188" i="45"/>
  <c r="H192" i="45"/>
  <c r="I72" i="45"/>
  <c r="H175" i="45"/>
  <c r="H170" i="45"/>
  <c r="F147" i="45"/>
  <c r="G147" i="45" s="1"/>
  <c r="F146" i="45"/>
  <c r="G146" i="45" s="1"/>
  <c r="I149" i="45"/>
  <c r="C7" i="45" s="1"/>
  <c r="F144" i="45"/>
  <c r="G144" i="45" s="1"/>
  <c r="F143" i="45"/>
  <c r="G143" i="45" s="1"/>
  <c r="F145" i="45"/>
  <c r="G145" i="45" s="1"/>
  <c r="F148" i="45"/>
  <c r="G148" i="45" s="1"/>
  <c r="I67" i="45"/>
  <c r="F141" i="45"/>
  <c r="G141" i="45" s="1"/>
  <c r="F140" i="45"/>
  <c r="G140" i="45" s="1"/>
  <c r="F142" i="45"/>
  <c r="G142" i="45" s="1"/>
  <c r="I82" i="45"/>
  <c r="E82" i="45"/>
  <c r="F82" i="45" s="1"/>
  <c r="G82" i="45" s="1"/>
  <c r="E80" i="45"/>
  <c r="F80" i="45" s="1"/>
  <c r="G80" i="45" s="1"/>
  <c r="I80" i="45"/>
  <c r="I87" i="45"/>
  <c r="E87" i="45"/>
  <c r="F87" i="45" s="1"/>
  <c r="G87" i="45" s="1"/>
  <c r="E86" i="45"/>
  <c r="F86" i="45" s="1"/>
  <c r="G86" i="45" s="1"/>
  <c r="I86" i="45"/>
  <c r="I85" i="45"/>
  <c r="E85" i="45"/>
  <c r="F85" i="45" s="1"/>
  <c r="G85" i="45" s="1"/>
  <c r="I84" i="45"/>
  <c r="E84" i="45"/>
  <c r="F84" i="45" s="1"/>
  <c r="G84" i="45" s="1"/>
  <c r="E83" i="45"/>
  <c r="F83" i="45" s="1"/>
  <c r="G83" i="45" s="1"/>
  <c r="I83" i="45"/>
  <c r="F22" i="45"/>
  <c r="G22" i="45"/>
  <c r="F25" i="45"/>
  <c r="G25" i="45"/>
  <c r="F19" i="45"/>
  <c r="G19" i="45"/>
  <c r="I68" i="45"/>
  <c r="I71" i="45"/>
  <c r="I69" i="45"/>
  <c r="I27" i="45"/>
  <c r="J73" i="45"/>
  <c r="I65" i="45"/>
  <c r="I70" i="45"/>
  <c r="I66" i="45"/>
  <c r="I64" i="45"/>
  <c r="I63" i="45"/>
  <c r="H18" i="45"/>
  <c r="H20" i="45"/>
  <c r="H21" i="45"/>
  <c r="H23" i="45"/>
  <c r="H24" i="45"/>
  <c r="H26" i="45"/>
  <c r="E25" i="45"/>
  <c r="E22" i="45"/>
  <c r="E19" i="45"/>
  <c r="H171" i="45"/>
  <c r="H218" i="45"/>
  <c r="H79" i="45"/>
  <c r="H221" i="45"/>
  <c r="H117" i="12"/>
  <c r="H112" i="12"/>
  <c r="H106" i="12"/>
  <c r="G6" i="12"/>
  <c r="C67" i="3" s="1"/>
  <c r="H118" i="12"/>
  <c r="H178" i="45"/>
  <c r="H88" i="45"/>
  <c r="H205" i="45"/>
  <c r="H174" i="45"/>
  <c r="H177" i="45"/>
  <c r="H115" i="12"/>
  <c r="H6" i="12"/>
  <c r="B66" i="3" s="1"/>
  <c r="C66" i="3" s="1"/>
  <c r="H217" i="45"/>
  <c r="H173" i="45"/>
  <c r="H172" i="45"/>
  <c r="H81" i="45"/>
  <c r="H220" i="45"/>
  <c r="H207" i="45"/>
  <c r="H223" i="45"/>
  <c r="H216" i="45"/>
  <c r="H203" i="45"/>
  <c r="H176" i="45"/>
  <c r="H119" i="12"/>
  <c r="H101" i="12"/>
  <c r="H114" i="12"/>
  <c r="H113" i="12"/>
  <c r="H105" i="12"/>
  <c r="H99" i="12"/>
  <c r="H116" i="12"/>
  <c r="F7" i="32"/>
  <c r="M5" i="32" s="1"/>
  <c r="H102" i="12"/>
  <c r="H103" i="12"/>
  <c r="H98" i="12"/>
  <c r="H120" i="12"/>
  <c r="H104" i="12"/>
  <c r="H111" i="12"/>
  <c r="C7" i="12"/>
  <c r="C8" i="45" l="1"/>
  <c r="H219" i="45"/>
  <c r="I89" i="45"/>
  <c r="C6" i="45" s="1"/>
  <c r="H66" i="12"/>
  <c r="C5" i="12"/>
  <c r="I224" i="45"/>
  <c r="C9" i="45" s="1"/>
  <c r="H73" i="12"/>
  <c r="H69" i="12"/>
  <c r="H74" i="12"/>
  <c r="H121" i="12"/>
  <c r="H70" i="12"/>
  <c r="H72" i="12"/>
  <c r="H71" i="12"/>
  <c r="H75" i="12"/>
  <c r="H68" i="12"/>
  <c r="I76" i="12"/>
  <c r="C6" i="12" s="1"/>
  <c r="H67" i="12"/>
  <c r="H107" i="12"/>
  <c r="H54" i="12"/>
  <c r="C68" i="3"/>
  <c r="H55" i="12"/>
  <c r="H52" i="12"/>
  <c r="H53" i="12"/>
  <c r="H59" i="12"/>
  <c r="H51" i="12"/>
  <c r="H49" i="12"/>
  <c r="H215" i="45"/>
  <c r="H222" i="45"/>
  <c r="H202" i="45"/>
  <c r="H214" i="45"/>
  <c r="H200" i="45"/>
  <c r="H208" i="45"/>
  <c r="H209" i="45"/>
  <c r="H204" i="45"/>
  <c r="H206" i="45"/>
  <c r="H201" i="45"/>
  <c r="H194" i="45"/>
  <c r="H83" i="45"/>
  <c r="H85" i="45"/>
  <c r="H86" i="45"/>
  <c r="H179" i="45"/>
  <c r="H143" i="45"/>
  <c r="H82" i="45"/>
  <c r="H142" i="45"/>
  <c r="H147" i="45"/>
  <c r="H148" i="45"/>
  <c r="H140" i="45"/>
  <c r="H145" i="45"/>
  <c r="H141" i="45"/>
  <c r="H144" i="45"/>
  <c r="H146" i="45"/>
  <c r="H80" i="45"/>
  <c r="H87" i="45"/>
  <c r="H84" i="45"/>
  <c r="C5" i="45"/>
  <c r="I73" i="45"/>
  <c r="H22" i="45"/>
  <c r="H19" i="45"/>
  <c r="H25" i="45"/>
  <c r="H89" i="45" l="1"/>
  <c r="B6" i="45" s="1"/>
  <c r="F73" i="3"/>
  <c r="G73" i="3" s="1"/>
  <c r="B72" i="3" s="1"/>
  <c r="B73" i="3"/>
  <c r="C9" i="12"/>
  <c r="F65" i="32" s="1"/>
  <c r="M48" i="32" s="1"/>
  <c r="B7" i="12"/>
  <c r="H76" i="12"/>
  <c r="B6" i="12" s="1"/>
  <c r="H60" i="12"/>
  <c r="G26" i="12"/>
  <c r="C10" i="45"/>
  <c r="F66" i="32" s="1"/>
  <c r="B8" i="45"/>
  <c r="H224" i="45"/>
  <c r="H210" i="45"/>
  <c r="H149" i="45"/>
  <c r="B7" i="45" s="1"/>
  <c r="H27" i="45"/>
  <c r="B5" i="45" s="1"/>
  <c r="B74" i="3" l="1"/>
  <c r="B8" i="3" s="1"/>
  <c r="M49" i="32"/>
  <c r="E40" i="59"/>
  <c r="B5" i="12"/>
  <c r="B9" i="12" s="1"/>
  <c r="B9" i="45"/>
  <c r="B10" i="45" s="1"/>
  <c r="E53" i="59"/>
  <c r="E42" i="59"/>
  <c r="E57" i="59"/>
  <c r="F72" i="32" l="1"/>
  <c r="M53" i="32" s="1"/>
  <c r="E30" i="59" l="1"/>
  <c r="A5" i="10"/>
  <c r="E58" i="32"/>
  <c r="L44" i="32" s="1"/>
  <c r="E52" i="32"/>
  <c r="L38" i="32" s="1"/>
  <c r="E53" i="32"/>
  <c r="L39" i="32" s="1"/>
  <c r="E54" i="32"/>
  <c r="L40" i="32" s="1"/>
  <c r="E55" i="32"/>
  <c r="L41" i="32" s="1"/>
  <c r="E56" i="32"/>
  <c r="L42" i="32" s="1"/>
  <c r="E57" i="32"/>
  <c r="L43" i="32" s="1"/>
  <c r="E51" i="32"/>
  <c r="L37" i="32" s="1"/>
  <c r="F53" i="32"/>
  <c r="M39" i="32" s="1"/>
  <c r="C395" i="11"/>
  <c r="D395" i="11" s="1"/>
  <c r="I395" i="11" s="1"/>
  <c r="C394" i="11"/>
  <c r="D394" i="11" s="1"/>
  <c r="I394" i="11" s="1"/>
  <c r="C393" i="11"/>
  <c r="D393" i="11" s="1"/>
  <c r="I393" i="11" s="1"/>
  <c r="C392" i="11"/>
  <c r="D392" i="11" s="1"/>
  <c r="I392" i="11" s="1"/>
  <c r="C391" i="11"/>
  <c r="D391" i="11" s="1"/>
  <c r="I391" i="11" s="1"/>
  <c r="D170" i="11"/>
  <c r="D169" i="11"/>
  <c r="D168" i="11"/>
  <c r="D167" i="11"/>
  <c r="D166" i="11"/>
  <c r="D165" i="11"/>
  <c r="D164" i="11"/>
  <c r="D163" i="11"/>
  <c r="D162" i="11"/>
  <c r="D161" i="11"/>
  <c r="C157" i="11"/>
  <c r="C134" i="11"/>
  <c r="D134" i="11" s="1"/>
  <c r="C133" i="11"/>
  <c r="D133" i="11" s="1"/>
  <c r="C132" i="11"/>
  <c r="D132" i="11" s="1"/>
  <c r="C131" i="11"/>
  <c r="D131" i="11" s="1"/>
  <c r="C130" i="11"/>
  <c r="D130" i="11" s="1"/>
  <c r="C129" i="11"/>
  <c r="D129" i="11" s="1"/>
  <c r="C128" i="11"/>
  <c r="D128" i="11" s="1"/>
  <c r="C127" i="11"/>
  <c r="D127" i="11" s="1"/>
  <c r="C126" i="11"/>
  <c r="D126" i="11" s="1"/>
  <c r="C125" i="11"/>
  <c r="D125" i="11" s="1"/>
  <c r="C99" i="11"/>
  <c r="C98" i="11"/>
  <c r="C97" i="11"/>
  <c r="C96" i="11"/>
  <c r="D66" i="6"/>
  <c r="E66" i="6" s="1"/>
  <c r="F66" i="6" s="1"/>
  <c r="D65" i="6"/>
  <c r="E65" i="6" s="1"/>
  <c r="F65" i="6" s="1"/>
  <c r="B18" i="6" s="1"/>
  <c r="F46" i="32" s="1"/>
  <c r="D64" i="6"/>
  <c r="E64" i="6" s="1"/>
  <c r="F64" i="6" s="1"/>
  <c r="B17" i="6" s="1"/>
  <c r="F45" i="32" s="1"/>
  <c r="M32" i="32" s="1"/>
  <c r="H92" i="60"/>
  <c r="H90" i="60"/>
  <c r="H89" i="60"/>
  <c r="B19" i="6" l="1"/>
  <c r="F47" i="32" s="1"/>
  <c r="M34" i="32" s="1"/>
  <c r="M33" i="32"/>
  <c r="E28" i="59"/>
  <c r="F75" i="32"/>
  <c r="M56" i="32" s="1"/>
  <c r="E20" i="59"/>
  <c r="D171" i="11"/>
  <c r="B6" i="11"/>
  <c r="F51" i="32" s="1"/>
  <c r="M37" i="32" s="1"/>
  <c r="E150" i="11"/>
  <c r="B10" i="11" s="1"/>
  <c r="F55" i="32" s="1"/>
  <c r="C100" i="11"/>
  <c r="B7" i="11" s="1"/>
  <c r="F52" i="32" s="1"/>
  <c r="M38" i="32" s="1"/>
  <c r="D135" i="11"/>
  <c r="B9" i="11" s="1"/>
  <c r="F54" i="32" s="1"/>
  <c r="M40" i="32" s="1"/>
  <c r="E192" i="11"/>
  <c r="M41" i="32" l="1"/>
  <c r="B12" i="11"/>
  <c r="F57" i="32" s="1"/>
  <c r="B11" i="11"/>
  <c r="F56" i="32" s="1"/>
  <c r="M42" i="32" s="1"/>
  <c r="E18" i="59"/>
  <c r="I396" i="11"/>
  <c r="B15" i="11" s="1"/>
  <c r="F58" i="32" s="1"/>
  <c r="M44" i="32" s="1"/>
  <c r="E24" i="59"/>
  <c r="E21" i="59" l="1"/>
  <c r="M43" i="32"/>
  <c r="E22" i="59"/>
  <c r="B471" i="11"/>
  <c r="C471" i="11"/>
  <c r="B17" i="11" l="1"/>
  <c r="F68" i="32" s="1"/>
  <c r="M51" i="32" s="1"/>
  <c r="B18" i="11"/>
  <c r="F67" i="32" s="1"/>
  <c r="E36" i="59" s="1"/>
  <c r="E37" i="59" l="1"/>
  <c r="E35" i="59"/>
  <c r="F64" i="32"/>
  <c r="M50" i="32"/>
  <c r="E9" i="57" l="1"/>
  <c r="F9" i="57" s="1"/>
  <c r="E283" i="11"/>
  <c r="F283" i="11" s="1"/>
  <c r="G283" i="11" s="1"/>
  <c r="E282" i="11"/>
  <c r="F282" i="11" s="1"/>
  <c r="G282" i="11" s="1"/>
  <c r="E281" i="11"/>
  <c r="F281" i="11" s="1"/>
  <c r="G281" i="11" s="1"/>
  <c r="E280" i="11"/>
  <c r="F280" i="11" s="1"/>
  <c r="G280" i="11" s="1"/>
  <c r="E279" i="11"/>
  <c r="F279" i="11" s="1"/>
  <c r="G279" i="11" s="1"/>
  <c r="E271" i="11"/>
  <c r="F271" i="11" s="1"/>
  <c r="G271" i="11" s="1"/>
  <c r="E270" i="11"/>
  <c r="F270" i="11" s="1"/>
  <c r="G270" i="11" s="1"/>
  <c r="E269" i="11"/>
  <c r="F269" i="11" s="1"/>
  <c r="G269" i="11" s="1"/>
  <c r="E268" i="11"/>
  <c r="F268" i="11" s="1"/>
  <c r="G268" i="11" s="1"/>
  <c r="F267" i="11"/>
  <c r="G267" i="11" s="1"/>
  <c r="E259" i="11"/>
  <c r="F259" i="11" s="1"/>
  <c r="G259" i="11" s="1"/>
  <c r="E258" i="11"/>
  <c r="F258" i="11" s="1"/>
  <c r="G258" i="11" s="1"/>
  <c r="E257" i="11"/>
  <c r="F257" i="11" s="1"/>
  <c r="G257" i="11" s="1"/>
  <c r="E256" i="11"/>
  <c r="F256" i="11" s="1"/>
  <c r="G256" i="11" s="1"/>
  <c r="E255" i="11"/>
  <c r="F255" i="11" s="1"/>
  <c r="G255" i="11" s="1"/>
  <c r="E247" i="11"/>
  <c r="F247" i="11" s="1"/>
  <c r="G247" i="11" s="1"/>
  <c r="E246" i="11"/>
  <c r="F246" i="11" s="1"/>
  <c r="G246" i="11" s="1"/>
  <c r="E245" i="11"/>
  <c r="F245" i="11" s="1"/>
  <c r="G245" i="11" s="1"/>
  <c r="E244" i="11"/>
  <c r="F244" i="11" s="1"/>
  <c r="G244" i="11" s="1"/>
  <c r="E243" i="11"/>
  <c r="F243" i="11" s="1"/>
  <c r="G243" i="11" s="1"/>
  <c r="E235" i="11"/>
  <c r="F235" i="11" s="1"/>
  <c r="G235" i="11" s="1"/>
  <c r="E234" i="11"/>
  <c r="F234" i="11" s="1"/>
  <c r="G234" i="11" s="1"/>
  <c r="E233" i="11"/>
  <c r="F233" i="11" s="1"/>
  <c r="G233" i="11" s="1"/>
  <c r="E232" i="11"/>
  <c r="F232" i="11" s="1"/>
  <c r="G232" i="11" s="1"/>
  <c r="E236" i="11"/>
  <c r="F236" i="11" s="1"/>
  <c r="G236" i="11" s="1"/>
  <c r="E222" i="11"/>
  <c r="F222" i="11" s="1"/>
  <c r="G222" i="11" s="1"/>
  <c r="E223" i="11"/>
  <c r="F223" i="11" s="1"/>
  <c r="G223" i="11" s="1"/>
  <c r="E224" i="11"/>
  <c r="F224" i="11" s="1"/>
  <c r="G224" i="11" s="1"/>
  <c r="E225" i="11"/>
  <c r="F225" i="11" s="1"/>
  <c r="G225" i="11" s="1"/>
  <c r="E226" i="11"/>
  <c r="F226" i="11" s="1"/>
  <c r="G226" i="11" s="1"/>
  <c r="D33" i="10"/>
  <c r="D18" i="10"/>
  <c r="D14" i="13"/>
  <c r="E14" i="13" s="1"/>
  <c r="D15" i="13"/>
  <c r="E15" i="13" s="1"/>
  <c r="D16" i="13"/>
  <c r="E16" i="13" s="1"/>
  <c r="D17" i="13"/>
  <c r="E17" i="13" s="1"/>
  <c r="F33" i="10" l="1"/>
  <c r="G33" i="10"/>
  <c r="F18" i="10"/>
  <c r="G18" i="10"/>
  <c r="E18" i="10"/>
  <c r="E33" i="10"/>
  <c r="E18" i="13"/>
  <c r="B6" i="13" s="1"/>
  <c r="H33" i="10" l="1"/>
  <c r="H18" i="10"/>
  <c r="C17" i="9"/>
  <c r="C18" i="9"/>
  <c r="C19" i="9"/>
  <c r="C20" i="9"/>
  <c r="C21" i="9"/>
  <c r="C22" i="9"/>
  <c r="C23" i="9"/>
  <c r="C24" i="9"/>
  <c r="C25" i="9"/>
  <c r="C26" i="9"/>
  <c r="C27" i="9"/>
  <c r="C28" i="9"/>
  <c r="C29" i="9"/>
  <c r="C30" i="9"/>
  <c r="C31" i="9"/>
  <c r="B5" i="9" l="1"/>
  <c r="F18" i="32" s="1"/>
  <c r="F17" i="32" s="1"/>
  <c r="D12" i="52" l="1"/>
  <c r="E12" i="52"/>
  <c r="D13" i="52"/>
  <c r="E13" i="52"/>
  <c r="D14" i="52"/>
  <c r="E14" i="52"/>
  <c r="D15" i="52"/>
  <c r="E15" i="52"/>
  <c r="D16" i="52"/>
  <c r="E16" i="52"/>
  <c r="D17" i="52"/>
  <c r="E17" i="52"/>
  <c r="D18" i="52"/>
  <c r="E18" i="52"/>
  <c r="D19" i="52"/>
  <c r="E19" i="52"/>
  <c r="D20" i="52"/>
  <c r="E20" i="52"/>
  <c r="D21" i="52"/>
  <c r="E21" i="52"/>
  <c r="D22" i="52"/>
  <c r="E22" i="52"/>
  <c r="E11" i="52"/>
  <c r="D11" i="52"/>
  <c r="G11" i="52" l="1"/>
  <c r="H11" i="52" s="1"/>
  <c r="K11" i="52" s="1"/>
  <c r="G18" i="52"/>
  <c r="H18" i="52" s="1"/>
  <c r="K18" i="52" s="1"/>
  <c r="G12" i="52"/>
  <c r="H12" i="52" s="1"/>
  <c r="K12" i="52" s="1"/>
  <c r="G22" i="52"/>
  <c r="H22" i="52" s="1"/>
  <c r="K22" i="52" s="1"/>
  <c r="G14" i="52"/>
  <c r="H14" i="52" s="1"/>
  <c r="K14" i="52" s="1"/>
  <c r="G19" i="52"/>
  <c r="H19" i="52" s="1"/>
  <c r="K19" i="52" s="1"/>
  <c r="G17" i="52"/>
  <c r="H17" i="52" s="1"/>
  <c r="K17" i="52" s="1"/>
  <c r="G15" i="52"/>
  <c r="H15" i="52" s="1"/>
  <c r="K15" i="52" s="1"/>
  <c r="G13" i="52"/>
  <c r="H13" i="52" s="1"/>
  <c r="K13" i="52" s="1"/>
  <c r="G20" i="52"/>
  <c r="H20" i="52" s="1"/>
  <c r="K20" i="52" s="1"/>
  <c r="G16" i="52"/>
  <c r="H16" i="52" s="1"/>
  <c r="K16" i="52" s="1"/>
  <c r="G21" i="52"/>
  <c r="H21" i="52" s="1"/>
  <c r="K21" i="52" s="1"/>
  <c r="F78" i="32"/>
  <c r="J19" i="52" l="1"/>
  <c r="M19" i="52" s="1"/>
  <c r="I19" i="52"/>
  <c r="L19" i="52" s="1"/>
  <c r="J16" i="52"/>
  <c r="M16" i="52" s="1"/>
  <c r="I16" i="52"/>
  <c r="L16" i="52" s="1"/>
  <c r="J15" i="52"/>
  <c r="M15" i="52" s="1"/>
  <c r="I15" i="52"/>
  <c r="L15" i="52" s="1"/>
  <c r="J14" i="52"/>
  <c r="M14" i="52" s="1"/>
  <c r="I14" i="52"/>
  <c r="L14" i="52" s="1"/>
  <c r="J18" i="52"/>
  <c r="M18" i="52" s="1"/>
  <c r="I18" i="52"/>
  <c r="L18" i="52" s="1"/>
  <c r="J21" i="52"/>
  <c r="M21" i="52" s="1"/>
  <c r="I21" i="52"/>
  <c r="L21" i="52" s="1"/>
  <c r="J13" i="52"/>
  <c r="M13" i="52" s="1"/>
  <c r="I13" i="52"/>
  <c r="L13" i="52" s="1"/>
  <c r="J12" i="52"/>
  <c r="M12" i="52" s="1"/>
  <c r="I12" i="52"/>
  <c r="L12" i="52" s="1"/>
  <c r="J20" i="52"/>
  <c r="M20" i="52" s="1"/>
  <c r="I20" i="52"/>
  <c r="L20" i="52" s="1"/>
  <c r="I17" i="52"/>
  <c r="L17" i="52" s="1"/>
  <c r="J17" i="52"/>
  <c r="M17" i="52" s="1"/>
  <c r="J22" i="52"/>
  <c r="M22" i="52" s="1"/>
  <c r="I22" i="52"/>
  <c r="L22" i="52" s="1"/>
  <c r="J11" i="52"/>
  <c r="M11" i="52" s="1"/>
  <c r="I11" i="52"/>
  <c r="L11" i="52" s="1"/>
  <c r="M57" i="32"/>
  <c r="M23" i="52" l="1"/>
  <c r="C5" i="52" s="1"/>
  <c r="L23" i="52"/>
  <c r="G9" i="57"/>
  <c r="H9" i="57" s="1"/>
  <c r="J9" i="57" s="1"/>
  <c r="E220" i="11"/>
  <c r="E221" i="11"/>
  <c r="E227" i="11"/>
  <c r="E228" i="11"/>
  <c r="E219" i="11"/>
  <c r="D34" i="10"/>
  <c r="D35" i="10"/>
  <c r="D36" i="10"/>
  <c r="D37" i="10"/>
  <c r="D38" i="10"/>
  <c r="D39" i="10"/>
  <c r="D40" i="10"/>
  <c r="D41" i="10"/>
  <c r="D42" i="10"/>
  <c r="B5" i="52" l="1"/>
  <c r="F119" i="32" s="1"/>
  <c r="E86" i="60" s="1"/>
  <c r="E38" i="10"/>
  <c r="F38" i="10"/>
  <c r="G38" i="10"/>
  <c r="E34" i="10"/>
  <c r="F34" i="10"/>
  <c r="G34" i="10"/>
  <c r="E41" i="10"/>
  <c r="F41" i="10"/>
  <c r="G41" i="10"/>
  <c r="E35" i="10"/>
  <c r="F35" i="10"/>
  <c r="G35" i="10"/>
  <c r="E40" i="10"/>
  <c r="F40" i="10"/>
  <c r="G40" i="10"/>
  <c r="E37" i="10"/>
  <c r="F37" i="10"/>
  <c r="G37" i="10"/>
  <c r="E42" i="10"/>
  <c r="G42" i="10"/>
  <c r="F42" i="10"/>
  <c r="E39" i="10"/>
  <c r="G39" i="10"/>
  <c r="F39" i="10"/>
  <c r="E36" i="10"/>
  <c r="G36" i="10"/>
  <c r="F36" i="10"/>
  <c r="F219" i="11"/>
  <c r="G219" i="11" s="1"/>
  <c r="F79" i="32"/>
  <c r="H37" i="10" l="1"/>
  <c r="H40" i="10"/>
  <c r="H35" i="10"/>
  <c r="H41" i="10"/>
  <c r="H34" i="10"/>
  <c r="H38" i="10"/>
  <c r="H36" i="10"/>
  <c r="H39" i="10"/>
  <c r="H42" i="10"/>
  <c r="M58" i="32"/>
  <c r="C27" i="6"/>
  <c r="C28" i="6"/>
  <c r="C29" i="6"/>
  <c r="C30" i="6"/>
  <c r="C31" i="6"/>
  <c r="C32" i="6"/>
  <c r="C33" i="6"/>
  <c r="C34" i="6"/>
  <c r="C35" i="6"/>
  <c r="C36" i="6"/>
  <c r="C41" i="6"/>
  <c r="C26" i="6"/>
  <c r="H43" i="10" l="1"/>
  <c r="B18" i="13"/>
  <c r="F60" i="32" l="1"/>
  <c r="C28" i="11"/>
  <c r="C29" i="11"/>
  <c r="C30" i="11"/>
  <c r="C31" i="11"/>
  <c r="C32" i="11"/>
  <c r="C33" i="11"/>
  <c r="C34" i="11"/>
  <c r="C35" i="11"/>
  <c r="C36" i="11"/>
  <c r="C37" i="11"/>
  <c r="C27" i="11"/>
  <c r="C294" i="11"/>
  <c r="D294" i="11"/>
  <c r="M46" i="32" l="1"/>
  <c r="E17" i="59"/>
  <c r="E294" i="11"/>
  <c r="G294" i="11" l="1"/>
  <c r="H294" i="11" s="1"/>
  <c r="B14" i="11" s="1"/>
  <c r="F59" i="32" s="1"/>
  <c r="E23" i="59" s="1"/>
  <c r="E8" i="16"/>
  <c r="E10" i="57" l="1"/>
  <c r="F10" i="57" s="1"/>
  <c r="E11" i="57"/>
  <c r="F11" i="57" s="1"/>
  <c r="E12" i="57"/>
  <c r="F12" i="57" s="1"/>
  <c r="E13" i="57"/>
  <c r="F13" i="57" s="1"/>
  <c r="E14" i="57"/>
  <c r="F14" i="57" s="1"/>
  <c r="E15" i="57"/>
  <c r="F15" i="57" s="1"/>
  <c r="E16" i="57"/>
  <c r="F16" i="57" s="1"/>
  <c r="E17" i="57"/>
  <c r="F17" i="57" s="1"/>
  <c r="E18" i="57"/>
  <c r="F18" i="57" s="1"/>
  <c r="E19" i="57"/>
  <c r="F19" i="57" s="1"/>
  <c r="E20" i="57"/>
  <c r="F20" i="57" s="1"/>
  <c r="E21" i="57"/>
  <c r="F21" i="57" s="1"/>
  <c r="E22" i="57"/>
  <c r="F22" i="57" s="1"/>
  <c r="E23" i="57"/>
  <c r="F23" i="57" s="1"/>
  <c r="E24" i="57"/>
  <c r="F24" i="57" s="1"/>
  <c r="E25" i="57"/>
  <c r="F25" i="57" s="1"/>
  <c r="E26" i="57"/>
  <c r="F26" i="57" s="1"/>
  <c r="E27" i="57"/>
  <c r="F27" i="57" s="1"/>
  <c r="E28" i="57"/>
  <c r="F28" i="57" s="1"/>
  <c r="E29" i="57"/>
  <c r="F29" i="57" s="1"/>
  <c r="E30" i="57"/>
  <c r="F30" i="57" s="1"/>
  <c r="E31" i="57"/>
  <c r="F31" i="57" s="1"/>
  <c r="E32" i="57"/>
  <c r="F32" i="57" s="1"/>
  <c r="E33" i="57"/>
  <c r="F33" i="57" s="1"/>
  <c r="D9" i="14"/>
  <c r="E9" i="14" s="1"/>
  <c r="D10" i="14"/>
  <c r="E10" i="14" s="1"/>
  <c r="F10" i="14" s="1"/>
  <c r="D11" i="14"/>
  <c r="E11" i="14" s="1"/>
  <c r="D12" i="14"/>
  <c r="D13" i="14"/>
  <c r="E13" i="14" s="1"/>
  <c r="D14" i="14"/>
  <c r="E14" i="14" s="1"/>
  <c r="D15" i="14"/>
  <c r="E15" i="14" s="1"/>
  <c r="D16" i="14"/>
  <c r="D17" i="14"/>
  <c r="E17" i="14" s="1"/>
  <c r="D18" i="14"/>
  <c r="E18" i="14" s="1"/>
  <c r="F18" i="14" s="1"/>
  <c r="D19" i="14"/>
  <c r="E19" i="14" s="1"/>
  <c r="D10" i="15"/>
  <c r="D11" i="15"/>
  <c r="D12" i="15"/>
  <c r="D13" i="15"/>
  <c r="D14" i="15"/>
  <c r="D15" i="15"/>
  <c r="D16" i="15"/>
  <c r="D17" i="15"/>
  <c r="D18" i="15"/>
  <c r="D9" i="15"/>
  <c r="E9" i="15" s="1"/>
  <c r="F9" i="15" s="1"/>
  <c r="G9" i="16"/>
  <c r="G10" i="16"/>
  <c r="G11" i="16"/>
  <c r="G12" i="16"/>
  <c r="G13" i="16"/>
  <c r="G14" i="16"/>
  <c r="G15" i="16"/>
  <c r="G16" i="16"/>
  <c r="G17" i="16"/>
  <c r="G18" i="16"/>
  <c r="G19" i="16"/>
  <c r="G20" i="16"/>
  <c r="G21" i="16"/>
  <c r="G22" i="16"/>
  <c r="G23" i="16"/>
  <c r="G24" i="16"/>
  <c r="G25" i="16"/>
  <c r="G26" i="16"/>
  <c r="G27" i="16"/>
  <c r="G28" i="16"/>
  <c r="G29" i="16"/>
  <c r="E9" i="16"/>
  <c r="F9" i="16" s="1"/>
  <c r="E10" i="16"/>
  <c r="F10" i="16" s="1"/>
  <c r="E11" i="16"/>
  <c r="F11" i="16" s="1"/>
  <c r="E12" i="16"/>
  <c r="F12" i="16" s="1"/>
  <c r="E13" i="16"/>
  <c r="F13" i="16" s="1"/>
  <c r="E14" i="16"/>
  <c r="F14" i="16" s="1"/>
  <c r="E15" i="16"/>
  <c r="F15" i="16" s="1"/>
  <c r="E16" i="16"/>
  <c r="F16" i="16" s="1"/>
  <c r="E17" i="16"/>
  <c r="F17" i="16" s="1"/>
  <c r="E18" i="16"/>
  <c r="F18" i="16" s="1"/>
  <c r="E19" i="16"/>
  <c r="F19" i="16" s="1"/>
  <c r="E20" i="16"/>
  <c r="F20" i="16" s="1"/>
  <c r="E21" i="16"/>
  <c r="F21" i="16" s="1"/>
  <c r="E22" i="16"/>
  <c r="F22" i="16" s="1"/>
  <c r="E23" i="16"/>
  <c r="F23" i="16" s="1"/>
  <c r="E24" i="16"/>
  <c r="F24" i="16" s="1"/>
  <c r="E25" i="16"/>
  <c r="F25" i="16" s="1"/>
  <c r="E26" i="16"/>
  <c r="F26" i="16" s="1"/>
  <c r="E27" i="16"/>
  <c r="F27" i="16" s="1"/>
  <c r="E28" i="16"/>
  <c r="F28" i="16" s="1"/>
  <c r="E29" i="16"/>
  <c r="F29" i="16" s="1"/>
  <c r="H26" i="16" l="1"/>
  <c r="I26" i="16" s="1"/>
  <c r="H22" i="16"/>
  <c r="I22" i="16" s="1"/>
  <c r="H18" i="16"/>
  <c r="I18" i="16" s="1"/>
  <c r="H14" i="16"/>
  <c r="I14" i="16" s="1"/>
  <c r="H28" i="16"/>
  <c r="I28" i="16" s="1"/>
  <c r="H24" i="16"/>
  <c r="I24" i="16" s="1"/>
  <c r="H20" i="16"/>
  <c r="I20" i="16" s="1"/>
  <c r="H16" i="16"/>
  <c r="I16" i="16" s="1"/>
  <c r="H12" i="16"/>
  <c r="I12" i="16" s="1"/>
  <c r="H10" i="16"/>
  <c r="I10" i="16" s="1"/>
  <c r="F14" i="14"/>
  <c r="F19" i="14"/>
  <c r="F15" i="14"/>
  <c r="F11" i="14"/>
  <c r="E16" i="14"/>
  <c r="F16" i="14" s="1"/>
  <c r="E12" i="14"/>
  <c r="F12" i="14" s="1"/>
  <c r="H29" i="16"/>
  <c r="I29" i="16" s="1"/>
  <c r="H25" i="16"/>
  <c r="I25" i="16" s="1"/>
  <c r="H21" i="16"/>
  <c r="I21" i="16" s="1"/>
  <c r="H17" i="16"/>
  <c r="I17" i="16" s="1"/>
  <c r="H13" i="16"/>
  <c r="I13" i="16" s="1"/>
  <c r="H9" i="16"/>
  <c r="I9" i="16" s="1"/>
  <c r="H27" i="16"/>
  <c r="I27" i="16" s="1"/>
  <c r="H23" i="16"/>
  <c r="I23" i="16" s="1"/>
  <c r="H19" i="16"/>
  <c r="I19" i="16" s="1"/>
  <c r="H15" i="16"/>
  <c r="I15" i="16" s="1"/>
  <c r="H11" i="16"/>
  <c r="I11" i="16" s="1"/>
  <c r="F17" i="14"/>
  <c r="F13" i="14"/>
  <c r="G8" i="16" l="1"/>
  <c r="C28" i="55" l="1"/>
  <c r="B7" i="55" s="1"/>
  <c r="F101" i="32" s="1"/>
  <c r="M72" i="32" s="1"/>
  <c r="H9" i="51"/>
  <c r="I9" i="51" s="1"/>
  <c r="J9" i="51" l="1"/>
  <c r="K9" i="51"/>
  <c r="L9" i="51"/>
  <c r="E32" i="46"/>
  <c r="F32" i="46" s="1"/>
  <c r="B5" i="46" s="1"/>
  <c r="E24" i="46"/>
  <c r="F24" i="46" s="1"/>
  <c r="E25" i="46"/>
  <c r="F25" i="46" s="1"/>
  <c r="E14" i="46"/>
  <c r="F14" i="46" s="1"/>
  <c r="E15" i="46"/>
  <c r="F15" i="46" s="1"/>
  <c r="E16" i="46"/>
  <c r="F16" i="46" s="1"/>
  <c r="E17" i="46"/>
  <c r="F17" i="46" s="1"/>
  <c r="E18" i="46"/>
  <c r="F18" i="46" s="1"/>
  <c r="E19" i="46"/>
  <c r="F19" i="46" s="1"/>
  <c r="E20" i="46"/>
  <c r="E21" i="46"/>
  <c r="F21" i="46" s="1"/>
  <c r="E13" i="46"/>
  <c r="F13" i="46" s="1"/>
  <c r="B4" i="46" l="1"/>
  <c r="M9" i="51"/>
  <c r="F87" i="32"/>
  <c r="M64" i="32" s="1"/>
  <c r="F86" i="32"/>
  <c r="M63" i="32" s="1"/>
  <c r="B7" i="46" l="1"/>
  <c r="F91" i="32" s="1"/>
  <c r="M67" i="32" s="1"/>
  <c r="F85" i="32" l="1"/>
  <c r="F80" i="32"/>
  <c r="D26" i="6"/>
  <c r="G26" i="6" s="1"/>
  <c r="M62" i="32" l="1"/>
  <c r="M59" i="32"/>
  <c r="F48" i="6"/>
  <c r="G48" i="6" s="1"/>
  <c r="E288" i="11"/>
  <c r="F288" i="11" s="1"/>
  <c r="G288" i="11" s="1"/>
  <c r="E287" i="11"/>
  <c r="F287" i="11" s="1"/>
  <c r="G287" i="11" s="1"/>
  <c r="E286" i="11"/>
  <c r="F286" i="11" s="1"/>
  <c r="G286" i="11" s="1"/>
  <c r="E285" i="11"/>
  <c r="F285" i="11" s="1"/>
  <c r="G285" i="11" s="1"/>
  <c r="E284" i="11"/>
  <c r="F284" i="11" s="1"/>
  <c r="G284" i="11" s="1"/>
  <c r="E276" i="11"/>
  <c r="F276" i="11" s="1"/>
  <c r="G276" i="11" s="1"/>
  <c r="E275" i="11"/>
  <c r="F275" i="11" s="1"/>
  <c r="G275" i="11" s="1"/>
  <c r="E274" i="11"/>
  <c r="F274" i="11" s="1"/>
  <c r="G274" i="11" s="1"/>
  <c r="E273" i="11"/>
  <c r="F273" i="11" s="1"/>
  <c r="G273" i="11" s="1"/>
  <c r="E272" i="11"/>
  <c r="F272" i="11" s="1"/>
  <c r="G272" i="11" s="1"/>
  <c r="E261" i="11"/>
  <c r="F261" i="11" s="1"/>
  <c r="G261" i="11" s="1"/>
  <c r="E262" i="11"/>
  <c r="F262" i="11" s="1"/>
  <c r="G262" i="11" s="1"/>
  <c r="E263" i="11"/>
  <c r="F263" i="11" s="1"/>
  <c r="G263" i="11" s="1"/>
  <c r="E264" i="11"/>
  <c r="F264" i="11" s="1"/>
  <c r="G264" i="11" s="1"/>
  <c r="E260" i="11"/>
  <c r="F260" i="11" s="1"/>
  <c r="G260" i="11" s="1"/>
  <c r="E252" i="11"/>
  <c r="F252" i="11" s="1"/>
  <c r="G252" i="11" s="1"/>
  <c r="E251" i="11"/>
  <c r="F251" i="11" s="1"/>
  <c r="G251" i="11" s="1"/>
  <c r="E250" i="11"/>
  <c r="F250" i="11" s="1"/>
  <c r="G250" i="11" s="1"/>
  <c r="E249" i="11"/>
  <c r="F249" i="11" s="1"/>
  <c r="G249" i="11" s="1"/>
  <c r="E248" i="11"/>
  <c r="F248" i="11" s="1"/>
  <c r="G248" i="11" s="1"/>
  <c r="E237" i="11"/>
  <c r="F237" i="11" s="1"/>
  <c r="G237" i="11" s="1"/>
  <c r="E238" i="11"/>
  <c r="F238" i="11" s="1"/>
  <c r="G238" i="11" s="1"/>
  <c r="E239" i="11"/>
  <c r="F239" i="11" s="1"/>
  <c r="G239" i="11" s="1"/>
  <c r="E240" i="11"/>
  <c r="F240" i="11" s="1"/>
  <c r="G240" i="11" s="1"/>
  <c r="E231" i="11"/>
  <c r="F231" i="11" s="1"/>
  <c r="G231" i="11" s="1"/>
  <c r="F220" i="11"/>
  <c r="G220" i="11" s="1"/>
  <c r="F221" i="11"/>
  <c r="G221" i="11" s="1"/>
  <c r="F227" i="11"/>
  <c r="G227" i="11" s="1"/>
  <c r="F228" i="11"/>
  <c r="G228" i="11" s="1"/>
  <c r="I16" i="2" l="1"/>
  <c r="B4" i="2" s="1"/>
  <c r="B13" i="11"/>
  <c r="B19" i="11"/>
  <c r="F74" i="32" s="1"/>
  <c r="M55" i="32" s="1"/>
  <c r="C45" i="11"/>
  <c r="C46" i="11"/>
  <c r="C47" i="11"/>
  <c r="C48" i="11"/>
  <c r="C49" i="11"/>
  <c r="C50" i="11"/>
  <c r="C51" i="11"/>
  <c r="C52" i="11"/>
  <c r="C53" i="11"/>
  <c r="C44" i="11"/>
  <c r="D104" i="10"/>
  <c r="D103" i="10"/>
  <c r="D102" i="10"/>
  <c r="D101" i="10"/>
  <c r="D100" i="10"/>
  <c r="D99" i="10"/>
  <c r="D98" i="10"/>
  <c r="D97" i="10"/>
  <c r="D96" i="10"/>
  <c r="D90" i="10"/>
  <c r="D89" i="10"/>
  <c r="D88" i="10"/>
  <c r="D87" i="10"/>
  <c r="D86" i="10"/>
  <c r="D85" i="10"/>
  <c r="D84" i="10"/>
  <c r="D83" i="10"/>
  <c r="D82" i="10"/>
  <c r="D73" i="10"/>
  <c r="D72" i="10"/>
  <c r="D71" i="10"/>
  <c r="D70" i="10"/>
  <c r="D69" i="10"/>
  <c r="D68" i="10"/>
  <c r="D67" i="10"/>
  <c r="D66" i="10"/>
  <c r="D65" i="10"/>
  <c r="D58" i="10"/>
  <c r="D57" i="10"/>
  <c r="D56" i="10"/>
  <c r="D55" i="10"/>
  <c r="D54" i="10"/>
  <c r="D53" i="10"/>
  <c r="D52" i="10"/>
  <c r="D51" i="10"/>
  <c r="D50" i="10"/>
  <c r="D19" i="10"/>
  <c r="D20" i="10"/>
  <c r="D21" i="10"/>
  <c r="D22" i="10"/>
  <c r="D23" i="10"/>
  <c r="D24" i="10"/>
  <c r="D25" i="10"/>
  <c r="D26" i="10"/>
  <c r="D27" i="10"/>
  <c r="F84" i="32" l="1"/>
  <c r="E97" i="10"/>
  <c r="F97" i="10"/>
  <c r="G97" i="10"/>
  <c r="E100" i="10"/>
  <c r="F100" i="10"/>
  <c r="G100" i="10"/>
  <c r="E103" i="10"/>
  <c r="F103" i="10"/>
  <c r="G103" i="10"/>
  <c r="G95" i="10"/>
  <c r="F95" i="10"/>
  <c r="E95" i="10"/>
  <c r="E98" i="10"/>
  <c r="F98" i="10"/>
  <c r="G98" i="10"/>
  <c r="E101" i="10"/>
  <c r="F101" i="10"/>
  <c r="G101" i="10"/>
  <c r="E104" i="10"/>
  <c r="F104" i="10"/>
  <c r="G104" i="10"/>
  <c r="E96" i="10"/>
  <c r="F96" i="10"/>
  <c r="G96" i="10"/>
  <c r="E99" i="10"/>
  <c r="F99" i="10"/>
  <c r="G99" i="10"/>
  <c r="E102" i="10"/>
  <c r="F102" i="10"/>
  <c r="G102" i="10"/>
  <c r="F81" i="10"/>
  <c r="E81" i="10"/>
  <c r="G81" i="10"/>
  <c r="F84" i="10"/>
  <c r="E84" i="10"/>
  <c r="G84" i="10"/>
  <c r="F87" i="10"/>
  <c r="E87" i="10"/>
  <c r="G87" i="10"/>
  <c r="F90" i="10"/>
  <c r="G90" i="10"/>
  <c r="E90" i="10"/>
  <c r="G82" i="10"/>
  <c r="E82" i="10"/>
  <c r="F82" i="10"/>
  <c r="G85" i="10"/>
  <c r="E85" i="10"/>
  <c r="F85" i="10"/>
  <c r="G88" i="10"/>
  <c r="F88" i="10"/>
  <c r="E88" i="10"/>
  <c r="F83" i="10"/>
  <c r="G83" i="10"/>
  <c r="E83" i="10"/>
  <c r="F86" i="10"/>
  <c r="G86" i="10"/>
  <c r="E86" i="10"/>
  <c r="E89" i="10"/>
  <c r="F89" i="10"/>
  <c r="G89" i="10"/>
  <c r="F65" i="10"/>
  <c r="E65" i="10"/>
  <c r="G65" i="10"/>
  <c r="F68" i="10"/>
  <c r="E68" i="10"/>
  <c r="G68" i="10"/>
  <c r="F71" i="10"/>
  <c r="E71" i="10"/>
  <c r="G71" i="10"/>
  <c r="G66" i="10"/>
  <c r="E66" i="10"/>
  <c r="F66" i="10"/>
  <c r="G69" i="10"/>
  <c r="E69" i="10"/>
  <c r="F69" i="10"/>
  <c r="G72" i="10"/>
  <c r="E72" i="10"/>
  <c r="F72" i="10"/>
  <c r="E67" i="10"/>
  <c r="G67" i="10"/>
  <c r="F67" i="10"/>
  <c r="E70" i="10"/>
  <c r="G70" i="10"/>
  <c r="F70" i="10"/>
  <c r="E73" i="10"/>
  <c r="G73" i="10"/>
  <c r="F73" i="10"/>
  <c r="F54" i="10"/>
  <c r="G54" i="10"/>
  <c r="F52" i="10"/>
  <c r="G52" i="10"/>
  <c r="G55" i="10"/>
  <c r="F55" i="10"/>
  <c r="G58" i="10"/>
  <c r="F58" i="10"/>
  <c r="F51" i="10"/>
  <c r="G51" i="10"/>
  <c r="F57" i="10"/>
  <c r="G57" i="10"/>
  <c r="G50" i="10"/>
  <c r="F50" i="10"/>
  <c r="G53" i="10"/>
  <c r="F53" i="10"/>
  <c r="G56" i="10"/>
  <c r="F56" i="10"/>
  <c r="H64" i="10"/>
  <c r="E54" i="10"/>
  <c r="E51" i="10"/>
  <c r="E57" i="10"/>
  <c r="E52" i="10"/>
  <c r="E55" i="10"/>
  <c r="E58" i="10"/>
  <c r="E50" i="10"/>
  <c r="E53" i="10"/>
  <c r="E56" i="10"/>
  <c r="G25" i="10"/>
  <c r="F25" i="10"/>
  <c r="E22" i="10"/>
  <c r="G22" i="10"/>
  <c r="F22" i="10"/>
  <c r="E19" i="10"/>
  <c r="G19" i="10"/>
  <c r="F19" i="10"/>
  <c r="E27" i="10"/>
  <c r="G27" i="10"/>
  <c r="F27" i="10"/>
  <c r="G24" i="10"/>
  <c r="F24" i="10"/>
  <c r="G21" i="10"/>
  <c r="F21" i="10"/>
  <c r="E26" i="10"/>
  <c r="G26" i="10"/>
  <c r="F26" i="10"/>
  <c r="G23" i="10"/>
  <c r="F23" i="10"/>
  <c r="G20" i="10"/>
  <c r="F20" i="10"/>
  <c r="E24" i="10"/>
  <c r="E23" i="10"/>
  <c r="E20" i="10"/>
  <c r="E21" i="10"/>
  <c r="E25" i="10"/>
  <c r="F73" i="32"/>
  <c r="H82" i="10" l="1"/>
  <c r="H50" i="10"/>
  <c r="H51" i="10"/>
  <c r="M61" i="32"/>
  <c r="H71" i="10"/>
  <c r="H68" i="10"/>
  <c r="H65" i="10"/>
  <c r="H87" i="10"/>
  <c r="H84" i="10"/>
  <c r="H81" i="10"/>
  <c r="H102" i="10"/>
  <c r="H99" i="10"/>
  <c r="H104" i="10"/>
  <c r="H101" i="10"/>
  <c r="H98" i="10"/>
  <c r="H103" i="10"/>
  <c r="H100" i="10"/>
  <c r="H89" i="10"/>
  <c r="H96" i="10"/>
  <c r="H97" i="10"/>
  <c r="H95" i="10"/>
  <c r="H90" i="10"/>
  <c r="H72" i="10"/>
  <c r="H69" i="10"/>
  <c r="H66" i="10"/>
  <c r="H86" i="10"/>
  <c r="H83" i="10"/>
  <c r="H88" i="10"/>
  <c r="H85" i="10"/>
  <c r="H58" i="10"/>
  <c r="H52" i="10"/>
  <c r="H57" i="10"/>
  <c r="H73" i="10"/>
  <c r="H70" i="10"/>
  <c r="H67" i="10"/>
  <c r="H53" i="10"/>
  <c r="H54" i="10"/>
  <c r="H56" i="10"/>
  <c r="H55" i="10"/>
  <c r="H26" i="10"/>
  <c r="H21" i="10"/>
  <c r="H23" i="10"/>
  <c r="H27" i="10"/>
  <c r="H19" i="10"/>
  <c r="H22" i="10"/>
  <c r="H25" i="10"/>
  <c r="H20" i="10"/>
  <c r="H24" i="10"/>
  <c r="M54" i="32"/>
  <c r="M45" i="32"/>
  <c r="H74" i="10" l="1"/>
  <c r="H28" i="10"/>
  <c r="H91" i="10"/>
  <c r="H59" i="10"/>
  <c r="H105" i="10"/>
  <c r="B6" i="10" l="1"/>
  <c r="F97" i="32" s="1"/>
  <c r="M70" i="32" s="1"/>
  <c r="B5" i="10"/>
  <c r="F22" i="32"/>
  <c r="E7" i="59" s="1"/>
  <c r="E80" i="60"/>
  <c r="F30" i="60" s="1"/>
  <c r="E34" i="59" l="1"/>
  <c r="M14" i="32"/>
  <c r="D31" i="6"/>
  <c r="G31" i="6" s="1"/>
  <c r="D32" i="6"/>
  <c r="G32" i="6" s="1"/>
  <c r="D33" i="6"/>
  <c r="G33" i="6" s="1"/>
  <c r="D34" i="6"/>
  <c r="G34" i="6" s="1"/>
  <c r="D35" i="6"/>
  <c r="G35" i="6" s="1"/>
  <c r="D36" i="6"/>
  <c r="G36" i="6" s="1"/>
  <c r="D41" i="6"/>
  <c r="G41" i="6" s="1"/>
  <c r="D30" i="6"/>
  <c r="G30" i="6" s="1"/>
  <c r="D29" i="6"/>
  <c r="G29" i="6" s="1"/>
  <c r="D28" i="6"/>
  <c r="G28" i="6" s="1"/>
  <c r="D27" i="6"/>
  <c r="G27" i="6" s="1"/>
  <c r="H252" i="10"/>
  <c r="I252" i="10" s="1"/>
  <c r="H253" i="10"/>
  <c r="I253" i="10" s="1"/>
  <c r="H254" i="10"/>
  <c r="I254" i="10" s="1"/>
  <c r="H255" i="10"/>
  <c r="I255" i="10" s="1"/>
  <c r="H256" i="10"/>
  <c r="I256" i="10" s="1"/>
  <c r="H257" i="10"/>
  <c r="I257" i="10" s="1"/>
  <c r="H258" i="10"/>
  <c r="I258" i="10" s="1"/>
  <c r="H259" i="10"/>
  <c r="I259" i="10" s="1"/>
  <c r="H260" i="10"/>
  <c r="I260" i="10" s="1"/>
  <c r="I261" i="10" l="1"/>
  <c r="B10" i="10" s="1"/>
  <c r="G42" i="6"/>
  <c r="B5" i="6" s="1"/>
  <c r="F96" i="32" l="1"/>
  <c r="D13" i="49"/>
  <c r="E13" i="49" s="1"/>
  <c r="D12" i="49"/>
  <c r="E12" i="49" s="1"/>
  <c r="E55" i="6"/>
  <c r="F55" i="6" s="1"/>
  <c r="G55" i="6" s="1"/>
  <c r="E56" i="6"/>
  <c r="F56" i="6" s="1"/>
  <c r="G56" i="6" s="1"/>
  <c r="E57" i="6"/>
  <c r="F57" i="6" s="1"/>
  <c r="E58" i="6"/>
  <c r="F58" i="6" s="1"/>
  <c r="G58" i="6" s="1"/>
  <c r="D59" i="6"/>
  <c r="E59" i="6" s="1"/>
  <c r="F59" i="6" s="1"/>
  <c r="D60" i="6"/>
  <c r="E60" i="6" s="1"/>
  <c r="F60" i="6" s="1"/>
  <c r="D61" i="6"/>
  <c r="E61" i="6" s="1"/>
  <c r="F61" i="6" s="1"/>
  <c r="G61" i="6" s="1"/>
  <c r="D62" i="6"/>
  <c r="E62" i="6" s="1"/>
  <c r="F62" i="6" s="1"/>
  <c r="D63" i="6"/>
  <c r="E63" i="6" s="1"/>
  <c r="F63" i="6" s="1"/>
  <c r="B16" i="6" s="1"/>
  <c r="E49" i="6"/>
  <c r="F49" i="6" s="1"/>
  <c r="E50" i="6"/>
  <c r="F50" i="6" s="1"/>
  <c r="G50" i="6" s="1"/>
  <c r="E51" i="6"/>
  <c r="F51" i="6" s="1"/>
  <c r="G51" i="6" s="1"/>
  <c r="E52" i="6"/>
  <c r="F52" i="6" s="1"/>
  <c r="G52" i="6" s="1"/>
  <c r="E53" i="6"/>
  <c r="F53" i="6" s="1"/>
  <c r="G53" i="6" s="1"/>
  <c r="G59" i="6" l="1"/>
  <c r="B12" i="6" s="1"/>
  <c r="G49" i="6"/>
  <c r="B6" i="6" s="1"/>
  <c r="G57" i="6"/>
  <c r="B10" i="6" s="1"/>
  <c r="G60" i="6"/>
  <c r="B13" i="6" s="1"/>
  <c r="G12" i="49"/>
  <c r="H12" i="49" s="1"/>
  <c r="B7" i="6"/>
  <c r="B9" i="6"/>
  <c r="M69" i="32"/>
  <c r="F95" i="32"/>
  <c r="G13" i="49"/>
  <c r="H13" i="49" s="1"/>
  <c r="F24" i="32"/>
  <c r="M16" i="32" s="1"/>
  <c r="G810" i="11"/>
  <c r="B810" i="11"/>
  <c r="E8" i="59" l="1"/>
  <c r="F12" i="49"/>
  <c r="F13" i="49"/>
  <c r="I13" i="49" s="1"/>
  <c r="J13" i="49" s="1"/>
  <c r="C810" i="11"/>
  <c r="B20" i="11" s="1"/>
  <c r="F31" i="32" s="1"/>
  <c r="M19" i="32" s="1"/>
  <c r="H810" i="11"/>
  <c r="I12" i="49" l="1"/>
  <c r="J12" i="49" s="1"/>
  <c r="K12" i="49" s="1"/>
  <c r="B5" i="49" s="1"/>
  <c r="F104" i="32" s="1"/>
  <c r="M73" i="32" s="1"/>
  <c r="B21" i="11"/>
  <c r="F62" i="32" s="1"/>
  <c r="M47" i="32" s="1"/>
  <c r="L1130" i="44"/>
  <c r="G1130" i="44"/>
  <c r="H1130" i="44" s="1"/>
  <c r="I1130" i="44" s="1"/>
  <c r="J1130" i="44" s="1"/>
  <c r="M1130" i="44" s="1"/>
  <c r="L1129" i="44"/>
  <c r="G1129" i="44"/>
  <c r="O1129" i="44" s="1"/>
  <c r="L1128" i="44"/>
  <c r="G1128" i="44"/>
  <c r="H1128" i="44" s="1"/>
  <c r="I1128" i="44" s="1"/>
  <c r="J1128" i="44" s="1"/>
  <c r="M1128" i="44" s="1"/>
  <c r="L1127" i="44"/>
  <c r="G1127" i="44"/>
  <c r="H1127" i="44" s="1"/>
  <c r="I1127" i="44" s="1"/>
  <c r="J1127" i="44" s="1"/>
  <c r="M1127" i="44" s="1"/>
  <c r="L1126" i="44"/>
  <c r="G1126" i="44"/>
  <c r="H1126" i="44" s="1"/>
  <c r="I1126" i="44" s="1"/>
  <c r="J1126" i="44" s="1"/>
  <c r="M1126" i="44" s="1"/>
  <c r="M1131" i="44" s="1"/>
  <c r="G41" i="57"/>
  <c r="H41" i="57" s="1"/>
  <c r="I41" i="57" s="1"/>
  <c r="J41" i="57" s="1"/>
  <c r="M41" i="57" s="1"/>
  <c r="G40" i="57"/>
  <c r="G39" i="57"/>
  <c r="H39" i="57" s="1"/>
  <c r="I39" i="57" s="1"/>
  <c r="J39" i="57" s="1"/>
  <c r="M39" i="57" s="1"/>
  <c r="G38" i="57"/>
  <c r="G37" i="57"/>
  <c r="H37" i="57" s="1"/>
  <c r="I37" i="57" s="1"/>
  <c r="J37" i="57" s="1"/>
  <c r="M37" i="57" s="1"/>
  <c r="G33" i="57"/>
  <c r="G32" i="57"/>
  <c r="G31" i="57"/>
  <c r="G30" i="57"/>
  <c r="G29" i="57"/>
  <c r="G28" i="57"/>
  <c r="G27" i="57"/>
  <c r="G26" i="57"/>
  <c r="G25" i="57"/>
  <c r="G24" i="57"/>
  <c r="G23" i="57"/>
  <c r="G22" i="57"/>
  <c r="G21" i="57"/>
  <c r="G20" i="57"/>
  <c r="G19" i="57"/>
  <c r="G18" i="57"/>
  <c r="G17" i="57"/>
  <c r="G16" i="57"/>
  <c r="G15" i="57"/>
  <c r="G14" i="57"/>
  <c r="G13" i="57"/>
  <c r="G12" i="57"/>
  <c r="G11" i="57"/>
  <c r="G10" i="57"/>
  <c r="H10" i="57" s="1"/>
  <c r="J10" i="57" s="1"/>
  <c r="M542" i="44"/>
  <c r="M541" i="44"/>
  <c r="H12" i="57" l="1"/>
  <c r="J12" i="57" s="1"/>
  <c r="H16" i="57"/>
  <c r="J16" i="57" s="1"/>
  <c r="H24" i="57"/>
  <c r="J24" i="57" s="1"/>
  <c r="H28" i="57"/>
  <c r="J28" i="57" s="1"/>
  <c r="H13" i="57"/>
  <c r="J13" i="57" s="1"/>
  <c r="H21" i="57"/>
  <c r="J21" i="57" s="1"/>
  <c r="H25" i="57"/>
  <c r="J25" i="57" s="1"/>
  <c r="H29" i="57"/>
  <c r="J29" i="57" s="1"/>
  <c r="H26" i="57"/>
  <c r="J26" i="57" s="1"/>
  <c r="H20" i="57"/>
  <c r="J20" i="57" s="1"/>
  <c r="H32" i="57"/>
  <c r="J32" i="57" s="1"/>
  <c r="H17" i="57"/>
  <c r="J17" i="57" s="1"/>
  <c r="H33" i="57"/>
  <c r="J33" i="57" s="1"/>
  <c r="H14" i="57"/>
  <c r="J14" i="57" s="1"/>
  <c r="H18" i="57"/>
  <c r="J18" i="57" s="1"/>
  <c r="H22" i="57"/>
  <c r="J22" i="57" s="1"/>
  <c r="H30" i="57"/>
  <c r="J30" i="57" s="1"/>
  <c r="H11" i="57"/>
  <c r="H15" i="57"/>
  <c r="J15" i="57" s="1"/>
  <c r="H19" i="57"/>
  <c r="J19" i="57" s="1"/>
  <c r="H23" i="57"/>
  <c r="J23" i="57" s="1"/>
  <c r="H27" i="57"/>
  <c r="J27" i="57" s="1"/>
  <c r="H31" i="57"/>
  <c r="J31" i="57" s="1"/>
  <c r="O1127" i="44"/>
  <c r="O1128" i="44"/>
  <c r="H40" i="57"/>
  <c r="I40" i="57" s="1"/>
  <c r="J40" i="57" s="1"/>
  <c r="M40" i="57" s="1"/>
  <c r="H38" i="57"/>
  <c r="I38" i="57" s="1"/>
  <c r="J38" i="57" s="1"/>
  <c r="M38" i="57" s="1"/>
  <c r="M42" i="57" s="1"/>
  <c r="H1129" i="44"/>
  <c r="I1129" i="44" s="1"/>
  <c r="J1129" i="44" s="1"/>
  <c r="M1129" i="44" s="1"/>
  <c r="J11" i="57" l="1"/>
  <c r="B5" i="57" s="1"/>
  <c r="F117" i="32" s="1"/>
  <c r="F13" i="32"/>
  <c r="M10" i="32" s="1"/>
  <c r="E92" i="60" l="1"/>
  <c r="F92" i="60" s="1"/>
  <c r="E31" i="59" l="1"/>
  <c r="B22" i="55"/>
  <c r="C15" i="55" l="1"/>
  <c r="B5" i="55" s="1"/>
  <c r="C22" i="55"/>
  <c r="B6" i="55" s="1"/>
  <c r="H13" i="51"/>
  <c r="I13" i="51" s="1"/>
  <c r="H14" i="51"/>
  <c r="I14" i="51" s="1"/>
  <c r="H15" i="51"/>
  <c r="I15" i="51" s="1"/>
  <c r="H16" i="51"/>
  <c r="I16" i="51" s="1"/>
  <c r="H17" i="51"/>
  <c r="I17" i="51" s="1"/>
  <c r="H18" i="51"/>
  <c r="I18" i="51" s="1"/>
  <c r="H19" i="51"/>
  <c r="I19" i="51" s="1"/>
  <c r="H20" i="51"/>
  <c r="I20" i="51" s="1"/>
  <c r="H21" i="51"/>
  <c r="I21" i="51" s="1"/>
  <c r="F99" i="32" l="1"/>
  <c r="M71" i="32" s="1"/>
  <c r="J17" i="51"/>
  <c r="K17" i="51"/>
  <c r="L17" i="51"/>
  <c r="J14" i="51"/>
  <c r="K14" i="51"/>
  <c r="L14" i="51"/>
  <c r="K19" i="51"/>
  <c r="L19" i="51"/>
  <c r="J19" i="51"/>
  <c r="K16" i="51"/>
  <c r="L16" i="51"/>
  <c r="J16" i="51"/>
  <c r="K13" i="51"/>
  <c r="L13" i="51"/>
  <c r="J13" i="51"/>
  <c r="J20" i="51"/>
  <c r="K20" i="51"/>
  <c r="L20" i="51"/>
  <c r="L21" i="51"/>
  <c r="J21" i="51"/>
  <c r="K21" i="51"/>
  <c r="L18" i="51"/>
  <c r="J18" i="51"/>
  <c r="K18" i="51"/>
  <c r="L15" i="51"/>
  <c r="J15" i="51"/>
  <c r="K15" i="51"/>
  <c r="B8" i="55"/>
  <c r="M13" i="51" l="1"/>
  <c r="M16" i="51"/>
  <c r="M19" i="51"/>
  <c r="M17" i="51"/>
  <c r="M20" i="51"/>
  <c r="M14" i="51"/>
  <c r="M21" i="51"/>
  <c r="M18" i="51"/>
  <c r="M15" i="51"/>
  <c r="E44" i="59"/>
  <c r="H28" i="51"/>
  <c r="I28" i="51" s="1"/>
  <c r="H27" i="51"/>
  <c r="I27" i="51" s="1"/>
  <c r="H26" i="51"/>
  <c r="I26" i="51" s="1"/>
  <c r="H25" i="51"/>
  <c r="I25" i="51" s="1"/>
  <c r="H24" i="51"/>
  <c r="I24" i="51" s="1"/>
  <c r="H23" i="51"/>
  <c r="I23" i="51" s="1"/>
  <c r="H22" i="51"/>
  <c r="I22" i="51" s="1"/>
  <c r="H11" i="51"/>
  <c r="I11" i="51" s="1"/>
  <c r="H10" i="51"/>
  <c r="I10" i="51" s="1"/>
  <c r="B66" i="11"/>
  <c r="B61" i="11"/>
  <c r="B8" i="2"/>
  <c r="B15" i="6"/>
  <c r="F43" i="32" s="1"/>
  <c r="M30" i="32" s="1"/>
  <c r="B11" i="6"/>
  <c r="F39" i="32" s="1"/>
  <c r="M26" i="32" s="1"/>
  <c r="F40" i="32"/>
  <c r="M27" i="32" s="1"/>
  <c r="F41" i="32"/>
  <c r="M28" i="32" s="1"/>
  <c r="B14" i="6"/>
  <c r="F42" i="32" s="1"/>
  <c r="M29" i="32" s="1"/>
  <c r="F38" i="32"/>
  <c r="M25" i="32" s="1"/>
  <c r="F8" i="16"/>
  <c r="H8" i="16" s="1"/>
  <c r="F9" i="14"/>
  <c r="A5" i="14" s="1"/>
  <c r="E14" i="15"/>
  <c r="E15" i="15"/>
  <c r="E16" i="15"/>
  <c r="G16" i="15" s="1"/>
  <c r="E17" i="15"/>
  <c r="E18" i="15"/>
  <c r="E12" i="15"/>
  <c r="F12" i="15" s="1"/>
  <c r="E13" i="15"/>
  <c r="G13" i="15" s="1"/>
  <c r="H13" i="15" s="1"/>
  <c r="E11" i="15"/>
  <c r="E10" i="15"/>
  <c r="G9" i="15"/>
  <c r="C18" i="13"/>
  <c r="A28" i="13" s="1"/>
  <c r="C28" i="13" s="1"/>
  <c r="F88" i="32" l="1"/>
  <c r="F83" i="32" s="1"/>
  <c r="B10" i="2"/>
  <c r="J23" i="51"/>
  <c r="K23" i="51"/>
  <c r="L23" i="51"/>
  <c r="L24" i="51"/>
  <c r="J24" i="51"/>
  <c r="K24" i="51"/>
  <c r="L27" i="51"/>
  <c r="J27" i="51"/>
  <c r="K27" i="51"/>
  <c r="J11" i="51"/>
  <c r="K11" i="51"/>
  <c r="L11" i="51"/>
  <c r="J26" i="51"/>
  <c r="K26" i="51"/>
  <c r="L26" i="51"/>
  <c r="K10" i="51"/>
  <c r="L10" i="51"/>
  <c r="J10" i="51"/>
  <c r="K22" i="51"/>
  <c r="L22" i="51"/>
  <c r="J22" i="51"/>
  <c r="K25" i="51"/>
  <c r="L25" i="51"/>
  <c r="J25" i="51"/>
  <c r="K28" i="51"/>
  <c r="L28" i="51"/>
  <c r="J28" i="51"/>
  <c r="E91" i="60"/>
  <c r="F116" i="32"/>
  <c r="I8" i="16"/>
  <c r="B4" i="16" s="1"/>
  <c r="F114" i="32" s="1"/>
  <c r="F33" i="32"/>
  <c r="F44" i="32"/>
  <c r="E54" i="6"/>
  <c r="F54" i="6" s="1"/>
  <c r="G54" i="6" s="1"/>
  <c r="K13" i="49"/>
  <c r="F34" i="32"/>
  <c r="M21" i="32" s="1"/>
  <c r="F37" i="32"/>
  <c r="L13" i="15"/>
  <c r="F25" i="32"/>
  <c r="M17" i="32" s="1"/>
  <c r="F35" i="32"/>
  <c r="M22" i="32" s="1"/>
  <c r="F11" i="15"/>
  <c r="G11" i="15"/>
  <c r="J11" i="15"/>
  <c r="I11" i="15"/>
  <c r="J18" i="15"/>
  <c r="I18" i="15"/>
  <c r="F18" i="15"/>
  <c r="G18" i="15"/>
  <c r="J13" i="15"/>
  <c r="I13" i="15"/>
  <c r="F13" i="15"/>
  <c r="M13" i="15" s="1"/>
  <c r="I9" i="15"/>
  <c r="J9" i="15"/>
  <c r="L9" i="15"/>
  <c r="H9" i="15"/>
  <c r="M9" i="15" s="1"/>
  <c r="J17" i="15"/>
  <c r="G17" i="15"/>
  <c r="I17" i="15"/>
  <c r="F17" i="15"/>
  <c r="I16" i="15"/>
  <c r="F16" i="15"/>
  <c r="J16" i="15"/>
  <c r="G15" i="15"/>
  <c r="F15" i="15"/>
  <c r="I15" i="15"/>
  <c r="J15" i="15"/>
  <c r="L16" i="15"/>
  <c r="H16" i="15"/>
  <c r="I14" i="15"/>
  <c r="F14" i="15"/>
  <c r="J14" i="15"/>
  <c r="G14" i="15"/>
  <c r="F10" i="15"/>
  <c r="G10" i="15"/>
  <c r="J10" i="15"/>
  <c r="I10" i="15"/>
  <c r="I12" i="15"/>
  <c r="G12" i="15"/>
  <c r="J12" i="15"/>
  <c r="D18" i="13"/>
  <c r="H28" i="13"/>
  <c r="A38" i="13" s="1"/>
  <c r="E28" i="13"/>
  <c r="A34" i="13" s="1"/>
  <c r="M65" i="32" l="1"/>
  <c r="B34" i="13"/>
  <c r="C34" i="13" s="1"/>
  <c r="D34" i="13" s="1"/>
  <c r="B23" i="13" s="1"/>
  <c r="B38" i="13"/>
  <c r="C38" i="13" s="1"/>
  <c r="D38" i="13" s="1"/>
  <c r="B24" i="13" s="1"/>
  <c r="M22" i="51"/>
  <c r="M26" i="51"/>
  <c r="M11" i="51"/>
  <c r="B8" i="6"/>
  <c r="F36" i="32" s="1"/>
  <c r="M31" i="32"/>
  <c r="E27" i="59"/>
  <c r="M24" i="32"/>
  <c r="M20" i="32"/>
  <c r="E89" i="60"/>
  <c r="F89" i="60" s="1"/>
  <c r="E25" i="59"/>
  <c r="E6" i="59"/>
  <c r="B6" i="49"/>
  <c r="F105" i="32" s="1"/>
  <c r="M25" i="51"/>
  <c r="M24" i="51"/>
  <c r="M23" i="51"/>
  <c r="K9" i="15"/>
  <c r="N9" i="15" s="1"/>
  <c r="O9" i="15" s="1"/>
  <c r="F16" i="32"/>
  <c r="M12" i="32" s="1"/>
  <c r="F23" i="32"/>
  <c r="M15" i="32" s="1"/>
  <c r="F28" i="32"/>
  <c r="F27" i="32"/>
  <c r="K12" i="15"/>
  <c r="K15" i="15"/>
  <c r="M16" i="15"/>
  <c r="L17" i="15"/>
  <c r="H17" i="15"/>
  <c r="M17" i="15" s="1"/>
  <c r="H11" i="15"/>
  <c r="M11" i="15" s="1"/>
  <c r="L11" i="15"/>
  <c r="K10" i="15"/>
  <c r="K16" i="15"/>
  <c r="N16" i="15" s="1"/>
  <c r="H18" i="15"/>
  <c r="M18" i="15" s="1"/>
  <c r="L18" i="15"/>
  <c r="H14" i="15"/>
  <c r="M14" i="15" s="1"/>
  <c r="L14" i="15"/>
  <c r="K17" i="15"/>
  <c r="K14" i="15"/>
  <c r="H15" i="15"/>
  <c r="M15" i="15" s="1"/>
  <c r="L15" i="15"/>
  <c r="L12" i="15"/>
  <c r="H12" i="15"/>
  <c r="M12" i="15" s="1"/>
  <c r="L10" i="15"/>
  <c r="H10" i="15"/>
  <c r="M10" i="15" s="1"/>
  <c r="K18" i="15"/>
  <c r="K13" i="15"/>
  <c r="N13" i="15" s="1"/>
  <c r="O13" i="15" s="1"/>
  <c r="K11" i="15"/>
  <c r="F81" i="32"/>
  <c r="F28" i="13"/>
  <c r="B25" i="13" l="1"/>
  <c r="B5" i="13" s="1"/>
  <c r="F15" i="32" s="1"/>
  <c r="M27" i="51"/>
  <c r="M10" i="51"/>
  <c r="M28" i="51"/>
  <c r="M60" i="32"/>
  <c r="F77" i="32"/>
  <c r="M23" i="32"/>
  <c r="E26" i="59"/>
  <c r="F32" i="32"/>
  <c r="B20" i="6"/>
  <c r="M74" i="32"/>
  <c r="F103" i="32"/>
  <c r="F133" i="32" s="1"/>
  <c r="B7" i="49"/>
  <c r="F129" i="32"/>
  <c r="F122" i="32"/>
  <c r="M18" i="32"/>
  <c r="M79" i="32" s="1"/>
  <c r="F128" i="32"/>
  <c r="F121" i="32"/>
  <c r="E14" i="59"/>
  <c r="E49" i="59" s="1"/>
  <c r="B64" i="11"/>
  <c r="M13" i="32"/>
  <c r="E11" i="59"/>
  <c r="N18" i="15"/>
  <c r="O18" i="15" s="1"/>
  <c r="N11" i="15"/>
  <c r="O11" i="15" s="1"/>
  <c r="N14" i="15"/>
  <c r="O14" i="15" s="1"/>
  <c r="N12" i="15"/>
  <c r="O12" i="15" s="1"/>
  <c r="F12" i="32"/>
  <c r="M9" i="32" s="1"/>
  <c r="F9" i="32"/>
  <c r="F6" i="32"/>
  <c r="M4" i="32" s="1"/>
  <c r="N17" i="15"/>
  <c r="O17" i="15" s="1"/>
  <c r="N10" i="15"/>
  <c r="O10" i="15" s="1"/>
  <c r="N15" i="15"/>
  <c r="O15" i="15" s="1"/>
  <c r="F5" i="32"/>
  <c r="M3" i="32" s="1"/>
  <c r="B5" i="15"/>
  <c r="O16" i="15"/>
  <c r="B7" i="13" l="1"/>
  <c r="B60" i="11" s="1"/>
  <c r="E41" i="59"/>
  <c r="E66" i="60"/>
  <c r="M6" i="32"/>
  <c r="M11" i="32"/>
  <c r="F14" i="32"/>
  <c r="E9" i="59" s="1"/>
  <c r="E43" i="59"/>
  <c r="E38" i="59"/>
  <c r="F10" i="32"/>
  <c r="M7" i="32" s="1"/>
  <c r="F11" i="32"/>
  <c r="M8" i="32" s="1"/>
  <c r="C5" i="15"/>
  <c r="B11" i="10"/>
  <c r="F4" i="32"/>
  <c r="E157" i="32" l="1"/>
  <c r="G66" i="60"/>
  <c r="B145" i="32" s="1"/>
  <c r="F49" i="59"/>
  <c r="E145" i="32"/>
  <c r="F8" i="32"/>
  <c r="M2" i="32"/>
  <c r="F3" i="32"/>
  <c r="E39" i="59"/>
  <c r="E10" i="59"/>
  <c r="B62" i="11"/>
  <c r="D5" i="15"/>
  <c r="F115" i="32" s="1"/>
  <c r="F118" i="32" s="1"/>
  <c r="M78" i="32" l="1"/>
  <c r="N14" i="32" s="1"/>
  <c r="B67" i="11"/>
  <c r="D46" i="11" s="1"/>
  <c r="E46" i="11" s="1"/>
  <c r="D27" i="11"/>
  <c r="E27" i="11" s="1"/>
  <c r="F127" i="32"/>
  <c r="F120" i="32"/>
  <c r="E90" i="60"/>
  <c r="F90" i="60" s="1"/>
  <c r="E5" i="59"/>
  <c r="E48" i="59" s="1"/>
  <c r="E65" i="60" s="1"/>
  <c r="G65" i="60" s="1"/>
  <c r="D29" i="11"/>
  <c r="E29" i="11" s="1"/>
  <c r="D37" i="11"/>
  <c r="E37" i="11" s="1"/>
  <c r="E28" i="11"/>
  <c r="D30" i="11"/>
  <c r="E30" i="11" s="1"/>
  <c r="D36" i="11"/>
  <c r="E36" i="11" s="1"/>
  <c r="D31" i="11"/>
  <c r="E31" i="11" s="1"/>
  <c r="D33" i="11"/>
  <c r="E33" i="11" s="1"/>
  <c r="D35" i="11"/>
  <c r="E35" i="11" s="1"/>
  <c r="D34" i="11"/>
  <c r="E34" i="11" s="1"/>
  <c r="D32" i="11"/>
  <c r="E32" i="11" s="1"/>
  <c r="B4" i="11" l="1"/>
  <c r="B144" i="32"/>
  <c r="B156" i="32"/>
  <c r="D47" i="11"/>
  <c r="E47" i="11" s="1"/>
  <c r="F49" i="32"/>
  <c r="D44" i="11"/>
  <c r="E44" i="11" s="1"/>
  <c r="D45" i="11"/>
  <c r="E45" i="11" s="1"/>
  <c r="D49" i="11"/>
  <c r="E49" i="11" s="1"/>
  <c r="D48" i="11"/>
  <c r="E48" i="11" s="1"/>
  <c r="D52" i="11"/>
  <c r="E52" i="11" s="1"/>
  <c r="D50" i="11"/>
  <c r="E50" i="11" s="1"/>
  <c r="D51" i="11"/>
  <c r="E51" i="11" s="1"/>
  <c r="D53" i="11"/>
  <c r="E53" i="11" s="1"/>
  <c r="E144" i="32"/>
  <c r="E156" i="32"/>
  <c r="F48" i="59"/>
  <c r="B5" i="11" l="1"/>
  <c r="F50" i="32" s="1"/>
  <c r="M36" i="32" s="1"/>
  <c r="M35" i="32"/>
  <c r="E19" i="59" l="1"/>
  <c r="F48" i="32"/>
  <c r="F131" i="32" s="1"/>
  <c r="F132" i="32" l="1"/>
  <c r="E158" i="32"/>
  <c r="E159" i="32"/>
  <c r="E162" i="32" l="1"/>
  <c r="D12" i="51" l="1"/>
  <c r="F12" i="51" s="1"/>
  <c r="H12" i="51" s="1"/>
  <c r="I12" i="51" s="1"/>
  <c r="L12" i="51" l="1"/>
  <c r="K12" i="51"/>
  <c r="J12" i="51"/>
  <c r="M12" i="51" l="1"/>
  <c r="B5" i="51" s="1"/>
  <c r="F113" i="32" s="1"/>
  <c r="M68" i="32" s="1"/>
  <c r="M75" i="32" l="1"/>
  <c r="N68" i="32" s="1"/>
  <c r="E45" i="59"/>
  <c r="E50" i="59" s="1"/>
  <c r="E67" i="60" s="1"/>
  <c r="G67" i="60" s="1"/>
  <c r="F123" i="32"/>
  <c r="F125" i="32" s="1"/>
  <c r="F130" i="32"/>
  <c r="F124" i="32"/>
  <c r="F126" i="32" s="1"/>
  <c r="G124" i="32" s="1"/>
  <c r="M80" i="32"/>
  <c r="M81" i="32" s="1"/>
  <c r="N74" i="32" l="1"/>
  <c r="N63" i="32"/>
  <c r="N54" i="32"/>
  <c r="N41" i="32"/>
  <c r="N24" i="32"/>
  <c r="N11" i="32"/>
  <c r="N73" i="32"/>
  <c r="N62" i="32"/>
  <c r="N53" i="32"/>
  <c r="N38" i="32"/>
  <c r="N23" i="32"/>
  <c r="N8" i="32"/>
  <c r="N72" i="32"/>
  <c r="N60" i="32"/>
  <c r="N52" i="32"/>
  <c r="N37" i="32"/>
  <c r="N22" i="32"/>
  <c r="N7" i="32"/>
  <c r="N57" i="32"/>
  <c r="N18" i="32"/>
  <c r="N79" i="32" s="1"/>
  <c r="N42" i="32"/>
  <c r="N71" i="32"/>
  <c r="N59" i="32"/>
  <c r="N49" i="32"/>
  <c r="N35" i="32"/>
  <c r="N21" i="32"/>
  <c r="N48" i="32"/>
  <c r="N45" i="32"/>
  <c r="N28" i="32"/>
  <c r="N36" i="32"/>
  <c r="N70" i="32"/>
  <c r="N58" i="32"/>
  <c r="N47" i="32"/>
  <c r="N34" i="32"/>
  <c r="N20" i="32"/>
  <c r="N3" i="32"/>
  <c r="N69" i="32"/>
  <c r="N2" i="32"/>
  <c r="N55" i="32"/>
  <c r="N13" i="32"/>
  <c r="N56" i="32"/>
  <c r="N43" i="32"/>
  <c r="N26" i="32"/>
  <c r="N12" i="32"/>
  <c r="N25" i="32"/>
  <c r="N67" i="32"/>
  <c r="G123" i="32"/>
  <c r="G95" i="32"/>
  <c r="E51" i="59"/>
  <c r="E54" i="59" s="1"/>
  <c r="B146" i="32"/>
  <c r="G68" i="60"/>
  <c r="H67" i="60" s="1"/>
  <c r="G116" i="32"/>
  <c r="G36" i="32"/>
  <c r="G101" i="32"/>
  <c r="G69" i="32"/>
  <c r="G79" i="32"/>
  <c r="G55" i="32"/>
  <c r="G49" i="32"/>
  <c r="G33" i="32"/>
  <c r="G120" i="32"/>
  <c r="G40" i="32"/>
  <c r="G104" i="32"/>
  <c r="G41" i="32"/>
  <c r="G115" i="32"/>
  <c r="G11" i="32"/>
  <c r="G51" i="32"/>
  <c r="G83" i="32"/>
  <c r="G48" i="32"/>
  <c r="G21" i="32"/>
  <c r="G65" i="32"/>
  <c r="G20" i="32"/>
  <c r="G39" i="32"/>
  <c r="G31" i="32"/>
  <c r="G45" i="32"/>
  <c r="G57" i="32"/>
  <c r="G64" i="32"/>
  <c r="G46" i="32"/>
  <c r="G118" i="32"/>
  <c r="G9" i="32"/>
  <c r="G81" i="32"/>
  <c r="G87" i="32"/>
  <c r="G58" i="32"/>
  <c r="G19" i="32"/>
  <c r="G78" i="32"/>
  <c r="G99" i="32"/>
  <c r="G77" i="32"/>
  <c r="G84" i="32"/>
  <c r="G50" i="32"/>
  <c r="G105" i="32"/>
  <c r="G86" i="32"/>
  <c r="G117" i="32"/>
  <c r="G5" i="32"/>
  <c r="G131" i="32"/>
  <c r="G85" i="32"/>
  <c r="G54" i="32"/>
  <c r="G103" i="32"/>
  <c r="G43" i="32"/>
  <c r="G23" i="32"/>
  <c r="G13" i="32"/>
  <c r="G133" i="32"/>
  <c r="G127" i="32"/>
  <c r="G38" i="32"/>
  <c r="G42" i="32"/>
  <c r="G7" i="32"/>
  <c r="G60" i="32"/>
  <c r="G97" i="32"/>
  <c r="G12" i="32"/>
  <c r="G66" i="32"/>
  <c r="G17" i="32"/>
  <c r="G68" i="32"/>
  <c r="G52" i="32"/>
  <c r="G89" i="32"/>
  <c r="G53" i="32"/>
  <c r="G121" i="32"/>
  <c r="G16" i="32"/>
  <c r="G128" i="32"/>
  <c r="G125" i="32"/>
  <c r="G32" i="32"/>
  <c r="G37" i="32"/>
  <c r="G14" i="32"/>
  <c r="G56" i="32"/>
  <c r="G34" i="32"/>
  <c r="G88" i="32"/>
  <c r="G10" i="32"/>
  <c r="G96" i="32"/>
  <c r="G25" i="32"/>
  <c r="G119" i="32"/>
  <c r="G80" i="32"/>
  <c r="G4" i="32"/>
  <c r="G62" i="32"/>
  <c r="G24" i="32"/>
  <c r="G27" i="32"/>
  <c r="G18" i="32"/>
  <c r="G73" i="32"/>
  <c r="G74" i="32"/>
  <c r="G114" i="32"/>
  <c r="G3" i="32"/>
  <c r="G44" i="32"/>
  <c r="G75" i="32"/>
  <c r="G47" i="32"/>
  <c r="G67" i="32"/>
  <c r="G8" i="32"/>
  <c r="G72" i="32"/>
  <c r="G22" i="32"/>
  <c r="G59" i="32"/>
  <c r="G15" i="32"/>
  <c r="G35" i="32"/>
  <c r="G6" i="32"/>
  <c r="G113" i="32"/>
  <c r="F50" i="59"/>
  <c r="E146" i="32"/>
  <c r="G132" i="32"/>
  <c r="G126" i="32"/>
  <c r="G122" i="32"/>
  <c r="G28" i="32"/>
  <c r="G91" i="32"/>
  <c r="G129" i="32"/>
  <c r="G70" i="32"/>
  <c r="G130" i="32"/>
  <c r="N78" i="32" l="1"/>
  <c r="N80" i="32"/>
  <c r="E68" i="60"/>
  <c r="F67" i="60" s="1"/>
  <c r="B147" i="32"/>
  <c r="B150" i="32" s="1"/>
  <c r="G76" i="60"/>
  <c r="H65" i="60"/>
  <c r="H66" i="60"/>
  <c r="G71" i="60"/>
  <c r="N81" i="32" l="1"/>
  <c r="E71" i="60"/>
  <c r="F54" i="59" s="1"/>
  <c r="E147" i="32"/>
  <c r="E150" i="32" s="1"/>
  <c r="F65" i="60"/>
  <c r="E76" i="60"/>
  <c r="E77" i="60" s="1"/>
  <c r="F66" i="60"/>
  <c r="E78" i="60"/>
  <c r="F51"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tc={3B28C5EA-9848-40A3-B9FD-49B410053D9A}</author>
  </authors>
  <commentList>
    <comment ref="K189" authorId="0" shapeId="0" xr:uid="{3B28C5EA-9848-40A3-B9FD-49B410053D9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[Tasks]
Hay una tarea anclada a este comentario que no se puede ver en el cliente.
Comentario:
    @Matthias Zaussinger mit welchen Werten wird hier das Ergebnis verglichen und wieso ist es um Faktor 20 höher? 
Respuesta:
    Das sind durchschnittswerte, die schon im Tool eingepflegt waren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Sophia White</author>
  </authors>
  <commentList>
    <comment ref="D446" authorId="0" shapeId="0" xr:uid="{08438C0B-1A5C-4D6C-8FA2-1001F17B6F4B}">
      <text>
        <r>
          <rPr>
            <b/>
            <sz val="9"/>
            <color indexed="81"/>
            <rFont val="Tahoma"/>
            <family val="2"/>
          </rPr>
          <t>Sophia White:</t>
        </r>
        <r>
          <rPr>
            <sz val="9"/>
            <color indexed="81"/>
            <rFont val="Tahoma"/>
            <family val="2"/>
          </rPr>
          <t xml:space="preserve">
Assumed pre 2010 there are no BEV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Prigge</author>
  </authors>
  <commentList>
    <comment ref="F10" authorId="0" shapeId="0" xr:uid="{6A214A9D-9427-4F30-AB14-3E2BC497865E}">
      <text>
        <r>
          <rPr>
            <b/>
            <sz val="9"/>
            <color indexed="81"/>
            <rFont val="Tahoma"/>
            <family val="2"/>
          </rPr>
          <t>Josh Prigge:</t>
        </r>
        <r>
          <rPr>
            <sz val="9"/>
            <color indexed="81"/>
            <rFont val="Tahoma"/>
            <family val="2"/>
          </rPr>
          <t xml:space="preserve">
Based on average weight of vine trunk from Jackson Family Wines.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Sophia White</author>
  </authors>
  <commentList>
    <comment ref="D449" authorId="0" shapeId="0" xr:uid="{9C63C1B2-2225-4BC3-9118-4595616D5C42}">
      <text>
        <r>
          <rPr>
            <b/>
            <sz val="9"/>
            <color indexed="81"/>
            <rFont val="Tahoma"/>
            <family val="2"/>
          </rPr>
          <t>Sophia White:</t>
        </r>
        <r>
          <rPr>
            <sz val="9"/>
            <color indexed="81"/>
            <rFont val="Tahoma"/>
            <family val="2"/>
          </rPr>
          <t xml:space="preserve">
Assumed pre 2010 there are no BEV</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2AB525-7EFC-40D9-A520-1EDE7274A7C2}" keepAlive="1" name="Abfrage - Stationary combustion" description="Verbindung mit der Abfrage 'Stationary combustion' in der Arbeitsmappe." type="5" refreshedVersion="8" background="1" saveData="1">
    <dbPr connection="Provider=Microsoft.Mashup.OleDb.1;Data Source=$Workbook$;Location=&quot;Stationary combustion&quot;;Extended Properties=&quot;&quot;" command="SELECT * FROM [Stationary combustion]"/>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<sst xmlns="http://schemas.openxmlformats.org/spreadsheetml/2006/main" count="8081" uniqueCount="2473">
  <si>
    <t>About This Tool</t>
  </si>
  <si>
    <t>IWCA commissioned Sustridge to develop this GHG emissions calculator tool for use by current and potential members to calculate their annual GHG emissions inventories. The tool was designed to include the most material emissions sources for typical wineries and vineyards, following ISO guidelines to cover at least 95% of Scope 1-2 emissions and at least 80% of Scope 3 emissions. This tool was updated in early 2024 by the Terra Institute to make it applicable for Latin American vineyards.
This model has been developed from several years of GHG emissions inventories conducted by Sustridge for IWCA members Jackson Family Wines, Silver Oak, and Spottswoode Estate, who have generously underwritten the development of this tool. The methodology aligns with IWCA's GHG Guidance Document and has been reviewed and approved each year by independent third party auditors accredited to the ISO 14064 standard.</t>
  </si>
  <si>
    <t>Updates by Terra Institute for South America</t>
  </si>
  <si>
    <t>Furthermore, to cater to the specific needs of the South American market, particularly in Argentina, the Terra Institute was contracted to enhance the IWCA Tool. The institute's expertise in environmental research and data analysis ensures the adaptation of the tool's Emission Factors to accurately reflect the emission intensities prevalent in South America. This strategic enhancement aims to provide wineries and vineyards in the region with a comprehensive tool tailored to their unique environmental context, fostering better sustainability practices and informed decision-making within the industry.
The initiative for this adaptation stemmed from Domaine Busquet, a pioneering winery in South America renowned for its commitment to sustainability. Recognizing the importance of accurate GHG emissions tracking in the region, Domaine Busquet spearheaded efforts to make the IWCA Tool applicable to the South American market, thereby catalyzing broader environmental stewardship initiatives across the industry.</t>
  </si>
  <si>
    <t>User Support</t>
  </si>
  <si>
    <t>Sustridge and Sensiba are happy to provide ongoing support for any users that might require assistance completing their GHG emissions inventories, including assistance identifying required data to input,  inputting the data itself, conducting reviews of completed inventories in preparation for 3rd party verification, or any other support that might be needed.</t>
  </si>
  <si>
    <t>Fees for User Support:
   ▪   2-hour Data Quality Analysis of Completed Inventories: $350
   ▪   User Support as Requested: $175/hour</t>
  </si>
  <si>
    <t>Contacts:</t>
  </si>
  <si>
    <t>Email:   josh@sustridge.com            OR            jgervreau@sensiba.com</t>
  </si>
  <si>
    <t>Website:       https://www.sustridge.com/             OR              https://sensiba.com/solutions/sustainability/</t>
  </si>
  <si>
    <t>Terra Institute: m.zaussinger@terra-institute.eu</t>
  </si>
  <si>
    <t>About IWCA</t>
  </si>
  <si>
    <t>The wine industry is one of the agricultural activities most affected by global climate change. Grapevines are extremely sensitive to subtle changes in weather, making grapes particularly vulnerable to heat and drought, and this could ultimately put the quality of our wines at risk.</t>
  </si>
  <si>
    <t>International Wineries for Climate Action (IWCA) is a collaborative working group of environmentally committed wineries focused on a science-based approach to reducing carbon emissions across the wine industry. Each member within IWCA takes responsibility to hold ourselves and each other accountable to build a cleaner, more resilient wine community for future generations.</t>
  </si>
  <si>
    <t>IWCA is open to wineries from any country who recognize that climate change is the most significant threat facing the wine industry, and who are guided by the urgency for strategic action that accelerates the implementation of strategies and innovative solutions to tackle climate change. Our goal is to share best practices that mitigate climate impacts in vineyard and winery operations so that we can act collectively to decarbonize the global wine industry today, by applying direct solutions avoiding offsetting carbon credits.</t>
  </si>
  <si>
    <t>IWCA was co-founded by Familia Torres and Jackson Family Wines, two leading wineries with a multigenerational vision rooted in environmental stewardship and responsible business practices.</t>
  </si>
  <si>
    <t>IWCA has received the 2020 Wine Enthusiast Wine Star Award for Social Visionary on the Year.</t>
  </si>
  <si>
    <t>https://www.iwcawine.org/</t>
  </si>
  <si>
    <t>3rd Party Verification</t>
  </si>
  <si>
    <t>IWCA Members are required to have their GHG emissions inventory verified to the ISO-14064-1 standard, consistent with the World Resources Institute's GHG Protocol, save for any IWCA divergences from the Protocol, as outlined in the IWCA GHG Inventory Scopes Document (https://www.iwcawine.org/ghg-emissions#guidance). The winery must use an audit firm that is ISO-14064-3 accredited or accredited as a solutions provider in CDP’s Greenhouse Gas Emissions Inventory services area (https://www.cdp.net/en/info/accredited-solutions-providers/all-accredited-service-providers).</t>
  </si>
  <si>
    <t>IWCA has negotiated preferred pricing for IWCA Members using LRQA for verification. Please contact an IWCA Admin for an appropriate LRQA contact in your region.</t>
  </si>
  <si>
    <t>https://www.lrqa.com/</t>
  </si>
  <si>
    <t>United Nations' Race to Zero Campaign</t>
  </si>
  <si>
    <t>Race To Zero is a global campaign rallying non-state actors - including companies, cities, regions, financial, educational, and healthcare institutions - to take rigorous and immediate action to halve global emissions by 2030 and deliver a healthier, fairer zero carbon world. 
Since June 2020, over 11,000 members have joined the campaign and are committed to the same overarching goal: reducing emissions across all scopes swiftly and fairly in line with the Paris Agreement, with transparent action plans and robust near-term targets.
All members must meet robust science-aligned criteria, which was clarified and strengthened through an extensive consultation process in June 2022. Partner initiatives are responsible for helping to bring members to the starting line to credibly race to zero emissions. IWCA was the first Race To Zero Partner representing the broader food and agriculture sector.</t>
  </si>
  <si>
    <t>IWCA was the first Food/Ag representative invited to join and participate in this global effort, and all IWCA Members are similarly recognized as members of the UN's Race To Zero campaign.</t>
  </si>
  <si>
    <t>https://racetozero.unfccc.int/system/race-to-zero/</t>
  </si>
  <si>
    <t>Updated Mar. 2023</t>
  </si>
  <si>
    <t xml:space="preserve">IWCA GHG INVENTORY </t>
  </si>
  <si>
    <t>Certification</t>
  </si>
  <si>
    <t xml:space="preserve">ISO 14064 </t>
  </si>
  <si>
    <t>3RD Party Auditor</t>
  </si>
  <si>
    <t>Required to be audited by internationally recognized third party auditor accredited to ISO standards</t>
  </si>
  <si>
    <t>Total scope</t>
  </si>
  <si>
    <t>Primary production facility(s), vineyards &amp; all business operations.
Scopes 1, 2 &amp; 3 from (from the vineyard to the final disposal of the waste once the product is consumed)</t>
  </si>
  <si>
    <t>Baseline Year</t>
  </si>
  <si>
    <t>Determined by individual winery / approved by IWCA Founding Members</t>
  </si>
  <si>
    <t>Production Unit</t>
  </si>
  <si>
    <r>
      <t>Chosen by the winery. The final result needs to be calculated in terms of CO</t>
    </r>
    <r>
      <rPr>
        <vertAlign val="subscript"/>
        <sz val="12"/>
        <color theme="1"/>
        <rFont val="Calibri"/>
        <family val="2"/>
        <scheme val="minor"/>
      </rPr>
      <t>2-</t>
    </r>
    <r>
      <rPr>
        <sz val="12"/>
        <color theme="1"/>
        <rFont val="Calibri"/>
        <family val="2"/>
        <scheme val="minor"/>
      </rPr>
      <t>equivalent/production unit</t>
    </r>
  </si>
  <si>
    <t>The IWCA GHG Template is designed to be inclusive of all Scopes 1-3 guidance provided by the WRI GHG Protocol.</t>
  </si>
  <si>
    <t>Optional Emissions Categories not required by IWCA are listed below and should be excluded from a comparison with other IWCA members.</t>
  </si>
  <si>
    <r>
      <t>PLEASE NOTE</t>
    </r>
    <r>
      <rPr>
        <b/>
        <i/>
        <sz val="11"/>
        <color rgb="FF0070C0"/>
        <rFont val="Calibri"/>
        <family val="2"/>
        <scheme val="minor"/>
      </rPr>
      <t>: The list of Optional Emissions Categories noted below are NOT exhaustive.</t>
    </r>
  </si>
  <si>
    <t>Scope 3: Purchased Goods and Services</t>
  </si>
  <si>
    <t xml:space="preserve">Purchased Goods and Services represent all company operating expenses.  While key purchase categories are included in this GHG template (glass, barrels, grapes, etc.) a comprehensive listing of all company spend categories is not and is excluded both based on complexity, challenges with emissions methodology and given the challenges with influcencing non key supply partners.  For wineries that do want to calculate this IWCA optional category more information is listed on the Purchased Products tab.   </t>
  </si>
  <si>
    <t>Scope 3: Capital Goods</t>
  </si>
  <si>
    <t xml:space="preserve">Capital Goods represent all company spending on infrastructure and durable goods.  Similar to Purchased Goods and Services, spending on CAPEX can generate emissions due to increased economic activity, however quantifying those emissions are beyond the boundaries of what the IWCA GHG template is able to calculate.   For wineries that do want to calculate this IWCA optional category more information is listed on the Purchased Products tab.   </t>
  </si>
  <si>
    <t>Scope 3: Upstream &amp; Downstream Leased Assets</t>
  </si>
  <si>
    <t>For many wineries this category is not relevant.  To include emissions associated with this category please reach out to Sustridge for additional support.</t>
  </si>
  <si>
    <t>Scope 3: Franchises</t>
  </si>
  <si>
    <t>Scope 3: Investments</t>
  </si>
  <si>
    <t>Soil Carbon Sequestration</t>
  </si>
  <si>
    <t>Carbon sequestration in the vineyard is included in the inventory in the short term carbon cycle (biogenic emissions).  The carbon sequestered is measured by this tool but can not be subtracted from Scopes 1-3 carbon emissions based on current WRI guidance.  Please use the purple tabs to calculate short term carbon emissions and read a summary of IWCA ongoing research on soil carbon sequestration on the last tab of this workbook.</t>
  </si>
  <si>
    <t>IWCA GHG Requirements</t>
  </si>
  <si>
    <t>Scope</t>
  </si>
  <si>
    <t>GHG Protocol Category</t>
  </si>
  <si>
    <r>
      <t xml:space="preserve">ISO 14064-1:2018 Category*
</t>
    </r>
    <r>
      <rPr>
        <b/>
        <i/>
        <sz val="14"/>
        <color theme="1"/>
        <rFont val="Calibri"/>
        <family val="2"/>
        <scheme val="minor"/>
      </rPr>
      <t>(see Notes below table)</t>
    </r>
  </si>
  <si>
    <t>Activity</t>
  </si>
  <si>
    <t>CO2mte</t>
  </si>
  <si>
    <r>
      <t xml:space="preserve">% of Total Scope 1-3^
</t>
    </r>
    <r>
      <rPr>
        <b/>
        <i/>
        <sz val="14"/>
        <color theme="0"/>
        <rFont val="Calibri"/>
        <family val="2"/>
        <scheme val="minor"/>
      </rPr>
      <t>(see Notes below table)</t>
    </r>
  </si>
  <si>
    <t>Category</t>
  </si>
  <si>
    <t>Subcategory</t>
  </si>
  <si>
    <t>Total CO2e
(tons)  - Market</t>
  </si>
  <si>
    <t>%</t>
  </si>
  <si>
    <t>Scope 1</t>
  </si>
  <si>
    <t>Stationary</t>
  </si>
  <si>
    <t>Included</t>
  </si>
  <si>
    <t>Stationary Emissions</t>
  </si>
  <si>
    <t>Category 1</t>
  </si>
  <si>
    <t>Natural Gas</t>
  </si>
  <si>
    <t>LPG</t>
  </si>
  <si>
    <t>-</t>
  </si>
  <si>
    <t>Diesel</t>
  </si>
  <si>
    <t>Mobile</t>
  </si>
  <si>
    <t>Petrol</t>
  </si>
  <si>
    <t>Mobile Emissions</t>
  </si>
  <si>
    <t>Motor Petrol</t>
  </si>
  <si>
    <t>Diesel Clear - Road Vehicles</t>
  </si>
  <si>
    <t>Diesel Red Dyed - Agricultural</t>
  </si>
  <si>
    <t>Aviation Petrol</t>
  </si>
  <si>
    <t>Vineyard Practices</t>
  </si>
  <si>
    <t>Refrig</t>
  </si>
  <si>
    <t>Refrigerants</t>
  </si>
  <si>
    <t>Fertilizer Application</t>
  </si>
  <si>
    <t>Bio Burning</t>
  </si>
  <si>
    <t>Biomass Burning</t>
  </si>
  <si>
    <t>Soil Emissions</t>
  </si>
  <si>
    <r>
      <t>CO</t>
    </r>
    <r>
      <rPr>
        <b/>
        <vertAlign val="subscript"/>
        <sz val="11"/>
        <rFont val="Calibri"/>
        <family val="2"/>
        <scheme val="minor"/>
      </rPr>
      <t>2</t>
    </r>
    <r>
      <rPr>
        <b/>
        <sz val="11"/>
        <rFont val="Calibri"/>
        <family val="2"/>
        <scheme val="minor"/>
      </rPr>
      <t xml:space="preserve"> Used in Winemaking</t>
    </r>
  </si>
  <si>
    <t>On-site Waste</t>
  </si>
  <si>
    <t>Waste</t>
  </si>
  <si>
    <t>Land Conversion</t>
  </si>
  <si>
    <t>Scope 2</t>
  </si>
  <si>
    <t>Electricity</t>
  </si>
  <si>
    <t>Grid kWh</t>
  </si>
  <si>
    <t>Scope 3</t>
  </si>
  <si>
    <t>OPEX</t>
  </si>
  <si>
    <t>Packaging</t>
  </si>
  <si>
    <t>Biomass Burning (CH4 and N2O)</t>
  </si>
  <si>
    <t>CO2</t>
  </si>
  <si>
    <t>CO2 Used in Winemaking</t>
  </si>
  <si>
    <t xml:space="preserve">Scope 2 </t>
  </si>
  <si>
    <t>Category 2</t>
  </si>
  <si>
    <t xml:space="preserve">Scope 2 Location-Based Emissions </t>
  </si>
  <si>
    <t>Scope 2 Market-Based Emissions</t>
  </si>
  <si>
    <t>Upstream</t>
  </si>
  <si>
    <t>Purchased Goods and Services</t>
  </si>
  <si>
    <t>Optional</t>
  </si>
  <si>
    <t>Category 4</t>
  </si>
  <si>
    <t>Bottles</t>
  </si>
  <si>
    <t>Capsules</t>
  </si>
  <si>
    <t>Cork</t>
  </si>
  <si>
    <t>Purchased Products</t>
  </si>
  <si>
    <t>Knock Down Boxes</t>
  </si>
  <si>
    <t>Box Partitions</t>
  </si>
  <si>
    <t>Labels</t>
  </si>
  <si>
    <t>Pallets</t>
  </si>
  <si>
    <t>Slip Sheets</t>
  </si>
  <si>
    <t>Screw Caps</t>
  </si>
  <si>
    <t>Stickers</t>
  </si>
  <si>
    <t>Tissue Paper</t>
  </si>
  <si>
    <t>Wooden Box</t>
  </si>
  <si>
    <t>Neckers</t>
  </si>
  <si>
    <t>Wax</t>
  </si>
  <si>
    <t>Wine bag in box</t>
  </si>
  <si>
    <t xml:space="preserve">Purchased Products </t>
  </si>
  <si>
    <t>Purchased Grapes</t>
  </si>
  <si>
    <t>Purchased Wine</t>
  </si>
  <si>
    <t>T&amp;D Losses</t>
  </si>
  <si>
    <t>Line Loss</t>
  </si>
  <si>
    <t>Upstream Transportation</t>
  </si>
  <si>
    <t>Bottle Transport by Third Party</t>
  </si>
  <si>
    <t>Offsite Waste</t>
  </si>
  <si>
    <t>Purchased Barrels (embedded)</t>
  </si>
  <si>
    <t>Fertilizer Production</t>
  </si>
  <si>
    <t>Capital Goods</t>
  </si>
  <si>
    <t>Business Travel</t>
  </si>
  <si>
    <t>CAPEX</t>
  </si>
  <si>
    <t>Category 3</t>
  </si>
  <si>
    <t>Fuel- and Energy-Related Activities Not Included in Scope 1 or Scope 2</t>
  </si>
  <si>
    <t>Upstream Fuel Emissions</t>
  </si>
  <si>
    <t>Stationary Fuels</t>
  </si>
  <si>
    <t>Mobile Fuels</t>
  </si>
  <si>
    <t>Employee Commuting</t>
  </si>
  <si>
    <t>Tasting Room Traffic</t>
  </si>
  <si>
    <t>Location-Based T&amp;D Losses</t>
  </si>
  <si>
    <t>Product Transport</t>
  </si>
  <si>
    <t>Market-Based T&amp;D Losses</t>
  </si>
  <si>
    <t>Upstream Transportation and Distribution</t>
  </si>
  <si>
    <t>Barrel Transport</t>
  </si>
  <si>
    <t>Post Consumer Waste</t>
  </si>
  <si>
    <t>Upstream Product Transport</t>
  </si>
  <si>
    <t>Operations</t>
  </si>
  <si>
    <t>Category 5</t>
  </si>
  <si>
    <t>Waste Generated in Operations</t>
  </si>
  <si>
    <t xml:space="preserve">Offsite Waste </t>
  </si>
  <si>
    <t>Market-Based</t>
  </si>
  <si>
    <t>Location-Based</t>
  </si>
  <si>
    <t>Waste to Landfill Emissions</t>
  </si>
  <si>
    <t>Recycling Emissions</t>
  </si>
  <si>
    <t>Compost Emissions</t>
  </si>
  <si>
    <t>Wastewater Treatment</t>
  </si>
  <si>
    <t>Scopes 1-3</t>
  </si>
  <si>
    <t>Category 6</t>
  </si>
  <si>
    <t>Passenger Vehicles</t>
  </si>
  <si>
    <t>Air Travel</t>
  </si>
  <si>
    <t>Rideshare</t>
  </si>
  <si>
    <t>Train</t>
  </si>
  <si>
    <t>Bus</t>
  </si>
  <si>
    <t>Hotels (optional)</t>
  </si>
  <si>
    <t>Category 7</t>
  </si>
  <si>
    <t>Employee Commute</t>
  </si>
  <si>
    <t>Category 8</t>
  </si>
  <si>
    <t>Upstream Leased Assets</t>
  </si>
  <si>
    <t>NA</t>
  </si>
  <si>
    <t>Downstream</t>
  </si>
  <si>
    <t>Category 9</t>
  </si>
  <si>
    <t>Downstream Transportation and Distribution</t>
  </si>
  <si>
    <t>Domestic Product Transport</t>
  </si>
  <si>
    <t>International Product Transport</t>
  </si>
  <si>
    <t>Category 10</t>
  </si>
  <si>
    <t>Processing of Sold Products</t>
  </si>
  <si>
    <t>Distributor/Retailer Refrigeration</t>
  </si>
  <si>
    <t>Category 11</t>
  </si>
  <si>
    <t>Use of Sold Products</t>
  </si>
  <si>
    <t>Consumer Home Refrigeration</t>
  </si>
  <si>
    <t>Category 12</t>
  </si>
  <si>
    <t>End of Life Treatment of Sold Products</t>
  </si>
  <si>
    <t>Argentina</t>
  </si>
  <si>
    <t xml:space="preserve">International  </t>
  </si>
  <si>
    <t>Category 13</t>
  </si>
  <si>
    <t>Downstream Leased Assets</t>
  </si>
  <si>
    <t>Franchises</t>
  </si>
  <si>
    <t>Category 14</t>
  </si>
  <si>
    <t>Investments</t>
  </si>
  <si>
    <t>Category 15</t>
  </si>
  <si>
    <t>Other</t>
  </si>
  <si>
    <t>Short Term Carbon Cycle</t>
  </si>
  <si>
    <t>Winemaking</t>
  </si>
  <si>
    <t>Winemaking Practices - Fermentation</t>
  </si>
  <si>
    <t>Biomass Photosynthesis</t>
  </si>
  <si>
    <t>Biomass Photosynthesis (- is sequestration)</t>
  </si>
  <si>
    <t>Row Cropping</t>
  </si>
  <si>
    <t>Row Cropping Sequestration</t>
  </si>
  <si>
    <t>Compost Application</t>
  </si>
  <si>
    <t>Short-term Carbon Cycle Total</t>
  </si>
  <si>
    <t>Biogenic Emissions</t>
  </si>
  <si>
    <t>Anthropogenic Biogenic Emissions</t>
  </si>
  <si>
    <t>Totals</t>
  </si>
  <si>
    <t>Scope 1 Total</t>
  </si>
  <si>
    <t>Scope 2 LB</t>
  </si>
  <si>
    <t>Scope 2 Location Based Total</t>
  </si>
  <si>
    <t>Scope 2 MB</t>
  </si>
  <si>
    <t>Scope 2 Market Based Total</t>
  </si>
  <si>
    <t>Scope 3 LB</t>
  </si>
  <si>
    <t>Scope 3 Location Based Total</t>
  </si>
  <si>
    <t>Scope 3 MB</t>
  </si>
  <si>
    <t>Scope 3 Market Based Total</t>
  </si>
  <si>
    <t>Scope 1-3 LB</t>
  </si>
  <si>
    <t>Scopes 1-3 Total (Location Based)</t>
  </si>
  <si>
    <t>Scope 1-3 MB</t>
  </si>
  <si>
    <t>Scopes 1-3 Total (Market Based)</t>
  </si>
  <si>
    <t>ISO Category 1</t>
  </si>
  <si>
    <t>ISO Category 1 Total</t>
  </si>
  <si>
    <t>ISO Category 2 LB</t>
  </si>
  <si>
    <t>ISO Category 2 Location Based Total</t>
  </si>
  <si>
    <t>ISO Category 2 MB</t>
  </si>
  <si>
    <t>ISO Category 2 Market Based Total</t>
  </si>
  <si>
    <t>ISO Category 3</t>
  </si>
  <si>
    <t>ISO Category 3 Total</t>
  </si>
  <si>
    <t>ISO Category 4 LB</t>
  </si>
  <si>
    <t>ISO Category 4 Location Based Total</t>
  </si>
  <si>
    <t>ISO Category 4 MB</t>
  </si>
  <si>
    <t>ISO Category 4 Market Based Total</t>
  </si>
  <si>
    <t>ISO Category 5</t>
  </si>
  <si>
    <t>ISO Category 5 Total</t>
  </si>
  <si>
    <t>Notes</t>
  </si>
  <si>
    <t>* ISO 14064-1:2018 categories were matched to GHG Protocol categories using Toitū's framework: https://www.toitu.co.nz/what-we-offer/carbon-management/summary-of-toitu-carbon-programmes-standard#mapping</t>
  </si>
  <si>
    <t>^ Cells E27 and E55 on the "GHG Emissions Breakdown" tab must be completed in order for percentage data to populate correctly in Column G.</t>
  </si>
  <si>
    <r>
      <t xml:space="preserve">The "GHG Emissions Breakdown" tab and the "Audit Summary Form" tab must be completed before the "IWCA Comparison" tables (above) and the graphs (below) display properly. 
Because the baseline data on the "Audit Summary Form" is either Location-Based or Market-Based, only Location-Based </t>
    </r>
    <r>
      <rPr>
        <b/>
        <u/>
        <sz val="11"/>
        <color rgb="FFFF0000"/>
        <rFont val="Calibri"/>
        <family val="2"/>
        <scheme val="minor"/>
      </rPr>
      <t>or</t>
    </r>
    <r>
      <rPr>
        <sz val="11"/>
        <color rgb="FFFF0000"/>
        <rFont val="Calibri"/>
        <family val="2"/>
        <scheme val="minor"/>
      </rPr>
      <t xml:space="preserve"> Market-Based baseline data will populate in the tables (above) and graphs (below).</t>
    </r>
  </si>
  <si>
    <t>IWCA Comparison - Location Based Emissions</t>
  </si>
  <si>
    <t>Our Company (Baseline)</t>
  </si>
  <si>
    <t>IWCA Average 
(Small Wineries, Baseline)</t>
  </si>
  <si>
    <t>IWCA Average 
(Large Wineries, Baseline)</t>
  </si>
  <si>
    <t>Our Company (Most Recent Year)</t>
  </si>
  <si>
    <t>IWCA Average 
(Small Wineries, Most Recent Year)</t>
  </si>
  <si>
    <t>IWCA Average 
(Large Wineries, Most Recent Year)</t>
  </si>
  <si>
    <t>Reporting Year</t>
  </si>
  <si>
    <t>Baseline Year (varies by winery)</t>
  </si>
  <si>
    <t>Most Recent Inventory Year (varies by winery)</t>
  </si>
  <si>
    <t>Total Scope 1</t>
  </si>
  <si>
    <t>Total Scope 2</t>
  </si>
  <si>
    <t>Total Scope 3</t>
  </si>
  <si>
    <t xml:space="preserve">GHG Emissions Scopes 1-2-3 </t>
  </si>
  <si>
    <r>
      <rPr>
        <strike/>
        <sz val="11"/>
        <color rgb="FF000000"/>
        <rFont val="Calibri"/>
        <family val="2"/>
        <scheme val="minor"/>
      </rPr>
      <t>Production</t>
    </r>
    <r>
      <rPr>
        <sz val="11"/>
        <color rgb="FF000000"/>
        <rFont val="Calibri"/>
        <family val="2"/>
        <scheme val="minor"/>
      </rPr>
      <t>* Dispatched Sold Volume (liters)</t>
    </r>
  </si>
  <si>
    <r>
      <rPr>
        <strike/>
        <sz val="11"/>
        <color rgb="FF000000"/>
        <rFont val="Calibri"/>
        <family val="2"/>
        <scheme val="minor"/>
      </rPr>
      <t xml:space="preserve">Production* </t>
    </r>
    <r>
      <rPr>
        <sz val="11"/>
        <color rgb="FF000000"/>
        <rFont val="Calibri"/>
        <family val="2"/>
        <scheme val="minor"/>
      </rPr>
      <t>Sold Dispatched Volume (9L cases)</t>
    </r>
  </si>
  <si>
    <r>
      <rPr>
        <b/>
        <sz val="11"/>
        <color theme="1"/>
        <rFont val="Calibri"/>
        <family val="2"/>
        <scheme val="minor"/>
      </rPr>
      <t xml:space="preserve">Emissions Intensity
</t>
    </r>
    <r>
      <rPr>
        <sz val="11"/>
        <color theme="1"/>
        <rFont val="Calibri"/>
        <family val="2"/>
        <scheme val="minor"/>
      </rPr>
      <t>kg of CO</t>
    </r>
    <r>
      <rPr>
        <vertAlign val="subscript"/>
        <sz val="11"/>
        <color theme="1"/>
        <rFont val="Calibri"/>
        <family val="2"/>
        <scheme val="minor"/>
      </rPr>
      <t>2</t>
    </r>
    <r>
      <rPr>
        <sz val="11"/>
        <color theme="1"/>
        <rFont val="Calibri"/>
        <family val="2"/>
        <scheme val="minor"/>
      </rPr>
      <t xml:space="preserve"> per Liter Produced</t>
    </r>
  </si>
  <si>
    <t>Data based on 6 wineries</t>
  </si>
  <si>
    <t>Data based on 7 wineries</t>
  </si>
  <si>
    <t>Data based on 3 wineries</t>
  </si>
  <si>
    <t>Data based on 4 wineries</t>
  </si>
  <si>
    <t>IWCA Comparison - Market Based Emissions</t>
  </si>
  <si>
    <t>Production Volume (liters)</t>
  </si>
  <si>
    <t>Production Volume (9L cases)</t>
  </si>
  <si>
    <t>Data based on 11 wineries</t>
  </si>
  <si>
    <t>IWCA GHG EMISSIONS BREAKDOWN</t>
  </si>
  <si>
    <r>
      <rPr>
        <b/>
        <sz val="11"/>
        <color rgb="FF172835"/>
        <rFont val="Calibri"/>
        <family val="2"/>
      </rPr>
      <t>Last Updated:</t>
    </r>
    <r>
      <rPr>
        <sz val="11"/>
        <color theme="9" tint="-0.499984740745262"/>
        <rFont val="Calibri"/>
        <family val="2"/>
      </rPr>
      <t xml:space="preserve">  1 January 2024</t>
    </r>
  </si>
  <si>
    <t xml:space="preserve">ISO-14064-1:2018 Categories </t>
  </si>
  <si>
    <t xml:space="preserve">GHG Protocol Scopes </t>
  </si>
  <si>
    <r>
      <t xml:space="preserve">The winery must add all information to this worksheet. The auditor is </t>
    </r>
    <r>
      <rPr>
        <b/>
        <i/>
        <u/>
        <sz val="18"/>
        <color rgb="FFFFFFFF"/>
        <rFont val="Calibri"/>
        <family val="2"/>
      </rPr>
      <t>NOT</t>
    </r>
    <r>
      <rPr>
        <b/>
        <i/>
        <sz val="18"/>
        <color rgb="FFFFFFFF"/>
        <rFont val="Calibri"/>
        <family val="2"/>
      </rPr>
      <t xml:space="preserve"> required to verify this table.</t>
    </r>
  </si>
  <si>
    <r>
      <t>Current Year (MTCO</t>
    </r>
    <r>
      <rPr>
        <b/>
        <vertAlign val="subscript"/>
        <sz val="10"/>
        <color rgb="FF272727"/>
        <rFont val="Calibri"/>
        <family val="2"/>
      </rPr>
      <t>2</t>
    </r>
    <r>
      <rPr>
        <b/>
        <sz val="10"/>
        <color rgb="FF272727"/>
        <rFont val="Calibri"/>
        <family val="2"/>
      </rPr>
      <t>e)*</t>
    </r>
  </si>
  <si>
    <r>
      <t xml:space="preserve">Comments </t>
    </r>
    <r>
      <rPr>
        <sz val="11"/>
        <color theme="9" tint="-0.499984740745262"/>
        <rFont val="Calibri"/>
        <family val="2"/>
      </rPr>
      <t>(</t>
    </r>
    <r>
      <rPr>
        <i/>
        <u/>
        <sz val="11"/>
        <color theme="9" tint="-0.499984740745262"/>
        <rFont val="Calibri"/>
        <family val="2"/>
      </rPr>
      <t>Note</t>
    </r>
    <r>
      <rPr>
        <i/>
        <sz val="11"/>
        <color theme="9" tint="-0.499984740745262"/>
        <rFont val="Calibri"/>
        <family val="2"/>
      </rPr>
      <t>: If emissions are zero or not reported, you must specify here the reason why</t>
    </r>
    <r>
      <rPr>
        <sz val="11"/>
        <color theme="9" tint="-0.499984740745262"/>
        <rFont val="Calibri"/>
        <family val="2"/>
      </rPr>
      <t>)</t>
    </r>
    <r>
      <rPr>
        <b/>
        <sz val="11"/>
        <color theme="9" tint="-0.499984740745262"/>
        <rFont val="Calibri"/>
        <family val="2"/>
      </rPr>
      <t>~</t>
    </r>
  </si>
  <si>
    <t xml:space="preserve">Direct GHG Emissions </t>
  </si>
  <si>
    <t>Direct Emission Sources</t>
  </si>
  <si>
    <t>Any/All fuel use for company business 
(winery/vineyard/logistics fuel use, natural gas, LPG, gasoline, diesel, butane, etc.)</t>
  </si>
  <si>
    <t>Change in land use (i.e., deforestation to plant new vineyards)</t>
  </si>
  <si>
    <r>
      <t xml:space="preserve">Do </t>
    </r>
    <r>
      <rPr>
        <u/>
        <sz val="11"/>
        <color theme="9" tint="-0.499984740745262"/>
        <rFont val="Calibri"/>
        <family val="2"/>
      </rPr>
      <t>not</t>
    </r>
    <r>
      <rPr>
        <sz val="11"/>
        <color theme="9" tint="-0.499984740745262"/>
        <rFont val="Calibri"/>
        <family val="2"/>
      </rPr>
      <t xml:space="preserve"> include carbon removals (see Rows 73-74 and 86-92 on Auditor Worksheet)</t>
    </r>
  </si>
  <si>
    <t>Fugitive emissions from refrigerant gases</t>
  </si>
  <si>
    <r>
      <t>CO</t>
    </r>
    <r>
      <rPr>
        <vertAlign val="subscript"/>
        <sz val="11"/>
        <color theme="9" tint="-0.499984740745262"/>
        <rFont val="Calibri"/>
        <family val="2"/>
      </rPr>
      <t>2</t>
    </r>
    <r>
      <rPr>
        <sz val="11"/>
        <color theme="9" tint="-0.499984740745262"/>
        <rFont val="Calibri"/>
        <family val="2"/>
      </rPr>
      <t xml:space="preserve"> used in winemaking or any other process</t>
    </r>
  </si>
  <si>
    <t>Vineyard soil emissions and fertilizer emissions from nitrogen application</t>
  </si>
  <si>
    <t>On-site waste (methane from wastewater treatment)</t>
  </si>
  <si>
    <r>
      <t xml:space="preserve">Any other accountable category 
</t>
    </r>
    <r>
      <rPr>
        <i/>
        <sz val="11"/>
        <color rgb="FF006699"/>
        <rFont val="Calibri"/>
        <family val="2"/>
      </rPr>
      <t>The formula in cell D24 represents the emissions from Biomass Burning (CH</t>
    </r>
    <r>
      <rPr>
        <i/>
        <vertAlign val="subscript"/>
        <sz val="11"/>
        <color rgb="FF006699"/>
        <rFont val="Calibri"/>
        <family val="2"/>
      </rPr>
      <t>4</t>
    </r>
    <r>
      <rPr>
        <i/>
        <sz val="11"/>
        <color rgb="FF006699"/>
        <rFont val="Calibri"/>
        <family val="2"/>
      </rPr>
      <t xml:space="preserve"> and N</t>
    </r>
    <r>
      <rPr>
        <i/>
        <vertAlign val="subscript"/>
        <sz val="11"/>
        <color rgb="FF006699"/>
        <rFont val="Calibri"/>
        <family val="2"/>
      </rPr>
      <t>2</t>
    </r>
    <r>
      <rPr>
        <i/>
        <sz val="11"/>
        <color rgb="FF006699"/>
        <rFont val="Calibri"/>
        <family val="2"/>
      </rPr>
      <t>O) but winery should edit formula if any other Scope 1 emissions are not accounted for</t>
    </r>
  </si>
  <si>
    <t>Indicate sources of emissions</t>
  </si>
  <si>
    <t xml:space="preserve">Indirect GHG Emissions from Imported Energy </t>
  </si>
  <si>
    <r>
      <t xml:space="preserve">Electricity purchased from local utility grid (either location-based or market-based emissions factors allowed)
</t>
    </r>
    <r>
      <rPr>
        <i/>
        <sz val="11"/>
        <color rgb="FF006699"/>
        <rFont val="Calibri"/>
        <family val="2"/>
      </rPr>
      <t>Please manually select either "location-based" or "market-based" from dropdown in Cell E27.</t>
    </r>
  </si>
  <si>
    <t>Location-based</t>
  </si>
  <si>
    <t>Choose location- or market-based via drop-down menu
*Market-based should be used for companies with operations in markets providing supplier-specific data (EU, US, Australia, Japan, most LatAm countries etc.), while location-based is best used in markets that do not provide product or supplier-specific data or other contractual instruments.</t>
  </si>
  <si>
    <t>Categories 3-6</t>
  </si>
  <si>
    <t>Category 4: Indirect GHG Emissions from Products Used by the Organization</t>
  </si>
  <si>
    <t>Crop protection materials (e.g., herbicides, pesticides, fungicides) and fertilizer production</t>
  </si>
  <si>
    <t xml:space="preserve">Grapevine trellising </t>
  </si>
  <si>
    <t>Purchased grapes from external grower partners; purchased wine, bulk wine, or distillate</t>
  </si>
  <si>
    <t>Biomass treatment (used as fuel for biomass boiler)</t>
  </si>
  <si>
    <t>Winemaking gases (purchased embedded emissions) and winemaking products (yeast, bentonite, etc.)</t>
  </si>
  <si>
    <t>Wastewater treatment and/or water purification products</t>
  </si>
  <si>
    <t>Purchased wine barrels</t>
  </si>
  <si>
    <t>Purchased municipal water</t>
  </si>
  <si>
    <t>Packaging Materials</t>
  </si>
  <si>
    <t>Wine bottles; wine bag in box; corks; capsules (poly); capsules (tin); screwcaps; labels; stickers; etc.</t>
  </si>
  <si>
    <t>Partitions; separators; carton; knock down boxes; pads; tissue paper; slip sheets; etc.</t>
  </si>
  <si>
    <t>Pallets (include embedded emissions for purchased pallets); wood boxes; etc.</t>
  </si>
  <si>
    <t>Scarfs; neckers / neck scarfs; bottle adornments; etc.</t>
  </si>
  <si>
    <r>
      <t xml:space="preserve">Any other packaging material
</t>
    </r>
    <r>
      <rPr>
        <i/>
        <sz val="11"/>
        <color rgb="FF006699"/>
        <rFont val="Calibri"/>
        <family val="2"/>
      </rPr>
      <t>No value will be automatically calculated in cell D42; winery should manually enter any additional packaging emissions</t>
    </r>
  </si>
  <si>
    <t xml:space="preserve">Category 3: Indirect GHG Emissions from Transportation </t>
  </si>
  <si>
    <t>Outsourced Transportation</t>
  </si>
  <si>
    <r>
      <t xml:space="preserve">Harvesting transport (for internal fruit only) and grape transport (for grower fruit only)
</t>
    </r>
    <r>
      <rPr>
        <i/>
        <sz val="11"/>
        <color rgb="FF006699"/>
        <rFont val="Calibri"/>
        <family val="2"/>
      </rPr>
      <t>Value calculated in Cell D43 only represents emissions from outsourced harvesting transporting (internal fruit). Winery will need to edit the formula in the cell to add in emissions from outsourced grape transport (for grower fruit). See the Product Transport tab, Row 108 for more information.</t>
    </r>
  </si>
  <si>
    <r>
      <t xml:space="preserve">Purchased bottling material and wine barrel transport
</t>
    </r>
    <r>
      <rPr>
        <i/>
        <sz val="11"/>
        <color rgb="FF006699"/>
        <rFont val="Calibri"/>
        <family val="2"/>
      </rPr>
      <t>Value calculated in Cell D44</t>
    </r>
    <r>
      <rPr>
        <sz val="11"/>
        <color rgb="FF006699"/>
        <rFont val="Calibri"/>
        <family val="2"/>
      </rPr>
      <t xml:space="preserve"> </t>
    </r>
    <r>
      <rPr>
        <i/>
        <sz val="11"/>
        <color rgb="FF006699"/>
        <rFont val="Calibri"/>
        <family val="2"/>
      </rPr>
      <t>only represents the emissions from wine barrel transport. Winery needs to edit the formula in the cell to add in emissions from purchased bottling material. See the Purchased Products tab, "Upstream Product Transport" section (Row 280) for more information.</t>
    </r>
  </si>
  <si>
    <r>
      <t xml:space="preserve">Purchased wine and distillate transport (includes third-party transport of wine / juice between facilities)
</t>
    </r>
    <r>
      <rPr>
        <i/>
        <sz val="11"/>
        <color rgb="FF006699"/>
        <rFont val="Calibri"/>
        <family val="2"/>
      </rPr>
      <t>Winery will need to manually calculate and enter these emissions.</t>
    </r>
    <r>
      <rPr>
        <sz val="11"/>
        <color rgb="FF006699"/>
        <rFont val="Calibri"/>
        <family val="2"/>
      </rPr>
      <t xml:space="preserve"> </t>
    </r>
    <r>
      <rPr>
        <i/>
        <sz val="11"/>
        <color rgb="FF006699"/>
        <rFont val="Calibri"/>
        <family val="2"/>
      </rPr>
      <t>See the Purchased Products tab, "Upstream Product Transport" section (Row 280) for more information.</t>
    </r>
  </si>
  <si>
    <r>
      <t xml:space="preserve">Biomass transport (used as fuel for biomass boiler)
</t>
    </r>
    <r>
      <rPr>
        <i/>
        <sz val="11"/>
        <color rgb="FF006699"/>
        <rFont val="Calibri"/>
        <family val="2"/>
      </rPr>
      <t>Winery will need to manually calculate and enter these emissions. See the Purchased Products tab, "Upstream Product Transport" section (Row 280) for more information.</t>
    </r>
  </si>
  <si>
    <t>Case goods transport (to distributors &amp; consumers)</t>
  </si>
  <si>
    <r>
      <t xml:space="preserve">Wine club shipments
</t>
    </r>
    <r>
      <rPr>
        <i/>
        <sz val="11"/>
        <color rgb="FF006699"/>
        <rFont val="Calibri"/>
        <family val="2"/>
      </rPr>
      <t>Winery can opt to calculate wine club shipment emissions using the "Domestic Product Transport" table (see Product Transport tab, Row 14) instead of using the calculated value in Cell D48. However, if the winery chooses to do so, it may need to manually change the emissions value in Cell D48 (and include a comment in Cell E48).</t>
    </r>
  </si>
  <si>
    <t>Outsourced Production</t>
  </si>
  <si>
    <r>
      <t xml:space="preserve">Own land farming and/or harvesting performed by third party
</t>
    </r>
    <r>
      <rPr>
        <i/>
        <sz val="11"/>
        <color rgb="FF006699"/>
        <rFont val="Calibri"/>
        <family val="2"/>
      </rPr>
      <t>Winery may choose, based on its judgment and that of its auditor, whether to allocate these emissions to Scope 1 under "Any/all fuel use for company business."</t>
    </r>
  </si>
  <si>
    <t>Categories 3 and 4</t>
  </si>
  <si>
    <t>Wine bottled in third party bottling plant</t>
  </si>
  <si>
    <t xml:space="preserve">Category 3 </t>
  </si>
  <si>
    <t>Travel</t>
  </si>
  <si>
    <t>Employee commute</t>
  </si>
  <si>
    <t>Business travel (car, plane, train, etc.)</t>
  </si>
  <si>
    <t>Fuel Use</t>
  </si>
  <si>
    <t>Upstream stationary and mobile fuel emissions not accounted for in another category</t>
  </si>
  <si>
    <t>Offsite Waste / Loss</t>
  </si>
  <si>
    <t>Offsite solid waste and recycling (including its transport)</t>
  </si>
  <si>
    <r>
      <t xml:space="preserve">Location- / market-based transmission and distribution losses (from purchased electricity)
</t>
    </r>
    <r>
      <rPr>
        <i/>
        <sz val="11"/>
        <color rgb="FF006699"/>
        <rFont val="Calibri"/>
        <family val="2"/>
      </rPr>
      <t>Please manually select either "location-based" or "market-based" from dropdown in Cell E55.</t>
    </r>
  </si>
  <si>
    <t>Input location- or market-based via dropdown menu.</t>
  </si>
  <si>
    <t>Category 5: Indirect Emissions Associated with the Use of Products from the Organization</t>
  </si>
  <si>
    <t>Postconsumption</t>
  </si>
  <si>
    <t xml:space="preserve">Disposal of the product (if not recycled) </t>
  </si>
  <si>
    <t>Energy consumed at the shop / supermarket and energy consumed to cool the wine before use</t>
  </si>
  <si>
    <t>Categories 3, 4, 5, and/or 6</t>
  </si>
  <si>
    <r>
      <t xml:space="preserve">Any other accountable category
</t>
    </r>
    <r>
      <rPr>
        <i/>
        <sz val="11"/>
        <color rgb="FF006699"/>
        <rFont val="Calibri"/>
        <family val="2"/>
      </rPr>
      <t>The emissions calculated in Cell D58 are "Tasting Room Traffic" emissions. Winery should edit the formula in Cell D58 if it needs to add any other accountable Scope 3 Emissions.</t>
    </r>
  </si>
  <si>
    <r>
      <t xml:space="preserve">Summary Table
</t>
    </r>
    <r>
      <rPr>
        <b/>
        <u/>
        <sz val="10"/>
        <color rgb="FFFF0000"/>
        <rFont val="Calibri"/>
        <family val="2"/>
      </rPr>
      <t>NOTE</t>
    </r>
    <r>
      <rPr>
        <b/>
        <sz val="10"/>
        <color rgb="FFFF0000"/>
        <rFont val="Calibri"/>
        <family val="2"/>
      </rPr>
      <t xml:space="preserve">: </t>
    </r>
    <r>
      <rPr>
        <sz val="10"/>
        <color rgb="FFFF0000"/>
        <rFont val="Calibri"/>
        <family val="2"/>
      </rPr>
      <t xml:space="preserve">Manually adjusted values in this tab are carried to the "Audit Summary Form" tab but are </t>
    </r>
    <r>
      <rPr>
        <b/>
        <u/>
        <sz val="10"/>
        <color rgb="FFFF0000"/>
        <rFont val="Calibri"/>
        <family val="2"/>
      </rPr>
      <t>NOT</t>
    </r>
    <r>
      <rPr>
        <sz val="10"/>
        <color rgb="FFFF0000"/>
        <rFont val="Calibri"/>
        <family val="2"/>
      </rPr>
      <t xml:space="preserve"> carried to the "Summary" tab.</t>
    </r>
  </si>
  <si>
    <r>
      <t>Current Year (MTCO</t>
    </r>
    <r>
      <rPr>
        <b/>
        <vertAlign val="subscript"/>
        <sz val="11"/>
        <color rgb="FF272727"/>
        <rFont val="Calibri"/>
        <family val="2"/>
      </rPr>
      <t>2</t>
    </r>
    <r>
      <rPr>
        <b/>
        <sz val="11"/>
        <color rgb="FF272727"/>
        <rFont val="Calibri"/>
        <family val="2"/>
      </rPr>
      <t>e)*</t>
    </r>
  </si>
  <si>
    <t>Accuracy Self-Test^</t>
  </si>
  <si>
    <t>Scope 1 GHG Emissions / ISO-14064-1:2018 Category 1 Emissions</t>
  </si>
  <si>
    <t>Scope 2 GHG Emissions / ISO-14064-1:2018 Category 2 Emissions</t>
  </si>
  <si>
    <t>Scope 3 GHG Emissions / ISO-14064-1:2018 Categories 3-6 Emissions</t>
  </si>
  <si>
    <t>TOTAL Absolute GHG Emissions (Scopes 1-2-3 / ISO-14064-1:2018 Categories 1-6)</t>
  </si>
  <si>
    <t>Production Volume (in liters of wine)</t>
  </si>
  <si>
    <r>
      <t>GHG Emissions Intensity (KgCO</t>
    </r>
    <r>
      <rPr>
        <b/>
        <vertAlign val="subscript"/>
        <sz val="16"/>
        <color theme="0"/>
        <rFont val="Calibri"/>
        <family val="2"/>
      </rPr>
      <t>2</t>
    </r>
    <r>
      <rPr>
        <b/>
        <sz val="16"/>
        <color theme="0"/>
        <rFont val="Calibri"/>
        <family val="2"/>
      </rPr>
      <t>e/liter of wine)</t>
    </r>
  </si>
  <si>
    <t>Absolute GHG Emissions "in-setting" (only the below accepted)</t>
  </si>
  <si>
    <t>Third-party verified reforestation or other carbon sequestration projects on owned or permanently protected land that meets globally recognized permanence and additionality requirements for nature-based carbon removal</t>
  </si>
  <si>
    <r>
      <t xml:space="preserve">Exceptions: </t>
    </r>
    <r>
      <rPr>
        <i/>
        <sz val="10"/>
        <color theme="9" tint="-0.499984740745262"/>
        <rFont val="Calibri"/>
        <family val="2"/>
      </rPr>
      <t>If a winery can demonstrate that any given emissions category is less than 1% of its total annual emissions, and ongoing data collection is determined to be overly time consuming or unreliable, it is acceptable to only perform the GHG calculation in the baseline year and reuse the calculated emissions number for future years without recalculating it, unless the production volume incresases by more than 5% vs the base year, where in that case the emissons number has to be increased proportionally. Case-by-case exceptions are subject to IWCA Board of Directors approval.</t>
    </r>
  </si>
  <si>
    <r>
      <rPr>
        <b/>
        <u/>
        <sz val="14"/>
        <color rgb="FF376189"/>
        <rFont val="Calibri"/>
        <family val="2"/>
      </rPr>
      <t>Footnotes</t>
    </r>
    <r>
      <rPr>
        <sz val="11"/>
        <color theme="9" tint="-0.499984740745262"/>
        <rFont val="Calibri"/>
        <family val="2"/>
      </rPr>
      <t xml:space="preserve">
~ If you are specifying a reason for zero or non-reported emissions, please be detailed in your description. For example, if your winery only uses well water and thus excludes emissions from the “Purchased municipal water” category, please specify, “Winery only uses well water” instead of simply, “Does not apply.”  Some additional notes:
</t>
    </r>
    <r>
      <rPr>
        <sz val="11"/>
        <color theme="9" tint="-0.499984740745262"/>
        <rFont val="Wingdings"/>
        <charset val="2"/>
      </rPr>
      <t xml:space="preserve"> ü</t>
    </r>
    <r>
      <rPr>
        <sz val="11"/>
        <color theme="9" tint="-0.499984740745262"/>
        <rFont val="Calibri"/>
        <family val="2"/>
      </rPr>
      <t xml:space="preserve">  Your winery </t>
    </r>
    <r>
      <rPr>
        <b/>
        <u/>
        <sz val="11"/>
        <color theme="9" tint="-0.499984740745262"/>
        <rFont val="Calibri"/>
        <family val="2"/>
      </rPr>
      <t>must</t>
    </r>
    <r>
      <rPr>
        <sz val="11"/>
        <color theme="9" tint="-0.499984740745262"/>
        <rFont val="Calibri"/>
        <family val="2"/>
      </rPr>
      <t xml:space="preserve"> consider each emissions category as part of its    
           inventory. As such, "Did not calculate" or "Did not report" is not a 
           sufficient explanation.
</t>
    </r>
    <r>
      <rPr>
        <sz val="11"/>
        <color theme="9" tint="-0.499984740745262"/>
        <rFont val="Wingdings"/>
        <charset val="2"/>
      </rPr>
      <t xml:space="preserve"> ü</t>
    </r>
    <r>
      <rPr>
        <sz val="11"/>
        <color theme="9" tint="-0.499984740745262"/>
        <rFont val="Calibri"/>
        <family val="2"/>
      </rPr>
      <t xml:space="preserve">  If emissions are excluded from a specific category due to falling 
           below an X% materiality threshold, please indicate this (along 
           with the “X” amount).
</t>
    </r>
    <r>
      <rPr>
        <sz val="11"/>
        <color theme="9" tint="-0.499984740745262"/>
        <rFont val="Wingdings"/>
        <charset val="2"/>
      </rPr>
      <t xml:space="preserve"> ü</t>
    </r>
    <r>
      <rPr>
        <sz val="11"/>
        <color theme="9" tint="-0.499984740745262"/>
        <rFont val="Calibri"/>
        <family val="2"/>
      </rPr>
      <t xml:space="preserve">  If emissions in a specific category are already accounted for in 
           another category, indicate the category under which those 
           emissions fall.
Please reach out to IWCA with any questions: https://www.iwcawine.org/contact-us
</t>
    </r>
    <r>
      <rPr>
        <b/>
        <sz val="11"/>
        <color theme="9" tint="-0.499984740745262"/>
        <rFont val="Calibri"/>
        <family val="2"/>
      </rPr>
      <t>*</t>
    </r>
    <r>
      <rPr>
        <sz val="11"/>
        <color theme="9" tint="-0.499984740745262"/>
        <rFont val="Calibri"/>
        <family val="2"/>
      </rPr>
      <t xml:space="preserve"> Note: MTCO</t>
    </r>
    <r>
      <rPr>
        <vertAlign val="subscript"/>
        <sz val="11"/>
        <color theme="9" tint="-0.499984740745262"/>
        <rFont val="Calibri"/>
        <family val="2"/>
      </rPr>
      <t>2</t>
    </r>
    <r>
      <rPr>
        <sz val="11"/>
        <color theme="9" tint="-0.499984740745262"/>
        <rFont val="Calibri"/>
        <family val="2"/>
      </rPr>
      <t xml:space="preserve">e stands for "metric tons of carbon dioxide equivalent." The "M" does </t>
    </r>
    <r>
      <rPr>
        <b/>
        <u/>
        <sz val="11"/>
        <color theme="9" tint="-0.499984740745262"/>
        <rFont val="Calibri"/>
        <family val="2"/>
      </rPr>
      <t>not</t>
    </r>
    <r>
      <rPr>
        <sz val="11"/>
        <color theme="9" tint="-0.499984740745262"/>
        <rFont val="Calibri"/>
        <family val="2"/>
      </rPr>
      <t xml:space="preserve"> stand for "Mega."</t>
    </r>
    <r>
      <rPr>
        <b/>
        <sz val="11"/>
        <color theme="9" tint="-0.499984740745262"/>
        <rFont val="Calibri"/>
        <family val="2"/>
      </rPr>
      <t xml:space="preserve">
^</t>
    </r>
    <r>
      <rPr>
        <sz val="11"/>
        <color theme="9" tint="-0.499984740745262"/>
        <rFont val="Calibri"/>
        <family val="2"/>
      </rPr>
      <t xml:space="preserve"> The Current Year values stated in the Summary Table are calculated from the data entered on this "GHG Emissions Breakdown" worksheet/tab. </t>
    </r>
    <r>
      <rPr>
        <i/>
        <sz val="11"/>
        <color theme="9" tint="-0.499984740745262"/>
        <rFont val="Calibri"/>
        <family val="2"/>
      </rPr>
      <t>Assuming that the auditor has completed the ISO-14064 Audit Summary section of the "Auditor Worksheet" tab,</t>
    </r>
    <r>
      <rPr>
        <sz val="11"/>
        <color theme="9" tint="-0.499984740745262"/>
        <rFont val="Calibri"/>
        <family val="2"/>
      </rPr>
      <t xml:space="preserve"> the Accuracy Self-Test cells will turn green if the values stated in the Summary Table match the audited values. Note: There may be a margin of error between the values on on this sheet and the Auditor Worksheet, so we recommend double checking the values.</t>
    </r>
  </si>
  <si>
    <t>To consider for the inventory:</t>
  </si>
  <si>
    <r>
      <rPr>
        <b/>
        <sz val="11"/>
        <color theme="9" tint="-0.499984740745262"/>
        <rFont val="Calibri"/>
        <family val="2"/>
      </rPr>
      <t>(1)</t>
    </r>
    <r>
      <rPr>
        <sz val="11"/>
        <color theme="9" tint="-0.499984740745262"/>
        <rFont val="Calibri"/>
        <family val="2"/>
      </rPr>
      <t xml:space="preserve"> The inventory must include the main winery (in bottle production) of the organization. 
</t>
    </r>
    <r>
      <rPr>
        <b/>
        <sz val="11"/>
        <color theme="9" tint="-0.499984740745262"/>
        <rFont val="Calibri"/>
        <family val="2"/>
      </rPr>
      <t>(2)</t>
    </r>
    <r>
      <rPr>
        <sz val="11"/>
        <color theme="9" tint="-0.499984740745262"/>
        <rFont val="Calibri"/>
        <family val="2"/>
      </rPr>
      <t xml:space="preserve"> The inventory must include any other winery in the region so that the audit represents at least 90% of the organization’s volume in the specified region. The wineries’ facilities need also to be included (owned logistics warehouse, water treatment plant, offices, hospitality centers, etc.)
</t>
    </r>
    <r>
      <rPr>
        <b/>
        <sz val="11"/>
        <color theme="9" tint="-0.499984740745262"/>
        <rFont val="Calibri"/>
        <family val="2"/>
      </rPr>
      <t xml:space="preserve">(3) </t>
    </r>
    <r>
      <rPr>
        <sz val="11"/>
        <color theme="9" tint="-0.499984740745262"/>
        <rFont val="Calibri"/>
        <family val="2"/>
      </rPr>
      <t xml:space="preserve">Emissions reductions must be based on own efforts (i.e., no external compensations or offsets, including Renewable Energy Credits [RECs] or Guarantees of Origin [GOs] linked to energy generated outside of the electricity grid from which the winery consumes its electricity, nor CO2 stored in planted vines, stoppers, or barrels). The use of external offsets is restricted, since IWCA’s approach is consistent with wineries reducing their own emissions as a key priority and by themselves, without relying on offsetting solutions. 
</t>
    </r>
    <r>
      <rPr>
        <b/>
        <sz val="11"/>
        <color theme="9" tint="-0.499984740745262"/>
        <rFont val="Calibri"/>
        <family val="2"/>
      </rPr>
      <t xml:space="preserve">(4) </t>
    </r>
    <r>
      <rPr>
        <sz val="11"/>
        <color theme="9" tint="-0.499984740745262"/>
        <rFont val="Calibri"/>
        <family val="2"/>
      </rPr>
      <t xml:space="preserve">Third-party verified reforestation or other carbon sequestration projects are acceptable on owned or permanently protected land that meets globally recognized permanence and additionality requirements for nature-based carbon removal. IWCA reserves the right to limit internal offsets up to a certain percentage of a winery’s carbon footprint, as it relates to obtaining Gold-level membership.
</t>
    </r>
    <r>
      <rPr>
        <b/>
        <sz val="11"/>
        <color theme="9" tint="-0.499984740745262"/>
        <rFont val="Calibri"/>
        <family val="2"/>
      </rPr>
      <t>(5)</t>
    </r>
    <r>
      <rPr>
        <sz val="11"/>
        <color theme="9" tint="-0.499984740745262"/>
        <rFont val="Calibri"/>
        <family val="2"/>
      </rPr>
      <t xml:space="preserve"> Market-based emissions factors for electricity emissions are acceptable. Market-based emissions factors may account for the purchase of grid-sourced renewable electricity so long as the renewable generation source/origin is verifiably connected to the same electricity grid from which the winery consumes its electricity. No other grid-sourced renewable electricity may be accounted for. All renewable electricity purchases are subject to IWCA approval on a case-by-case basis to ensure integrity. Renewable electricity purchases can only be used to cumulatively reduce a winery’s Scope 2 emissions toward zero (0) and can never be used to generate negative emissions.
</t>
    </r>
    <r>
      <rPr>
        <b/>
        <sz val="11"/>
        <color theme="9" tint="-0.499984740745262"/>
        <rFont val="Calibri"/>
        <family val="2"/>
      </rPr>
      <t xml:space="preserve">(6) </t>
    </r>
    <r>
      <rPr>
        <sz val="11"/>
        <color theme="9" tint="-0.499984740745262"/>
        <rFont val="Calibri"/>
        <family val="2"/>
      </rPr>
      <t xml:space="preserve">The inventory can model Short Term Carbon Cycle emissions (vineyard photosynthesis, soil carbon sequestration and emissions from wine fermentation) but these cannot be included in Scopes 1, 2, or 3.
</t>
    </r>
    <r>
      <rPr>
        <b/>
        <sz val="11"/>
        <color theme="9" tint="-0.499984740745262"/>
        <rFont val="Calibri"/>
        <family val="2"/>
      </rPr>
      <t>(7)</t>
    </r>
    <r>
      <rPr>
        <sz val="11"/>
        <color theme="9" tint="-0.499984740745262"/>
        <rFont val="Calibri"/>
        <family val="2"/>
      </rPr>
      <t xml:space="preserve"> Purchases or sales of Renewable Energy Credits (RECs) do not satisfy the criteria for onsite renewables or the GHG audit.
</t>
    </r>
    <r>
      <rPr>
        <b/>
        <sz val="11"/>
        <color theme="9" tint="-0.499984740745262"/>
        <rFont val="Calibri"/>
        <family val="2"/>
      </rPr>
      <t>(8)</t>
    </r>
    <r>
      <rPr>
        <sz val="11"/>
        <color theme="9" tint="-0.499984740745262"/>
        <rFont val="Calibri"/>
        <family val="2"/>
      </rPr>
      <t xml:space="preserve"> Renewable energy purchased from the public electricity grid does not satisfy criteria (unless local grid is 100% renewable).</t>
    </r>
  </si>
  <si>
    <t>IWCA GHG INVENTORY AUDIT SUMMARY FORM</t>
  </si>
  <si>
    <t>GHG Inventory Protocol</t>
  </si>
  <si>
    <r>
      <t xml:space="preserve">World Resources Institute GHG Protocol (primary methodology), with two exceptions: 
</t>
    </r>
    <r>
      <rPr>
        <b/>
        <sz val="11"/>
        <color theme="9" tint="-0.499984740745262"/>
        <rFont val="Calibri"/>
        <family val="2"/>
      </rPr>
      <t>(1) Accounting for refrigerant emissions:</t>
    </r>
    <r>
      <rPr>
        <sz val="11"/>
        <color theme="9" tint="-0.499984740745262"/>
        <rFont val="Calibri"/>
        <family val="2"/>
      </rPr>
      <t xml:space="preserve"> Given the large impact of refrigerants on wineries’ carbon footprints, IWCA requires our wineries to include all refrigerant emissions in their Scope 1 calculations. This includes emissions from GHGs not covered by the Kyoto Protocol. This differs from the GHG Protocol, which states that non-Kyoto emissions should be reported separately from Scope 1 emissions.
</t>
    </r>
    <r>
      <rPr>
        <b/>
        <sz val="11"/>
        <color theme="9" tint="-0.499984740745262"/>
        <rFont val="Calibri"/>
        <family val="2"/>
      </rPr>
      <t xml:space="preserve">(2) Accounting for retailer and home energy use to store and cool wine: </t>
    </r>
    <r>
      <rPr>
        <sz val="11"/>
        <color theme="9" tint="-0.499984740745262"/>
        <rFont val="Calibri"/>
        <family val="2"/>
      </rPr>
      <t>To totally close the life cycle of wine products, IWCA requires all wineries to consider all emissions related to energy consumed at the shop/supermarket — and energy consumed to cool wine before use — in their Scope 3 calculations. This differs from the GHG Protocol, which deems accounting for such emissions as optional.</t>
    </r>
  </si>
  <si>
    <t>Certification / Audit</t>
  </si>
  <si>
    <t>Audit firm must either be ISO-14064-3 accredited or CDP accredited as a solutions provider in CDP’s Greenhouse Gas Emissions Inventory services area. The audit firm’s accreditation must be valid for the winery’s specific geography or worldwide.</t>
  </si>
  <si>
    <t>Primary production facility(s), vineyards, and all business operations. 
Scopes 1, 2, and 3 / ISO-14064-1:2018 Categories 1, 2, 3, 4, 5, and 6 from (from the vineyard to the final disposal of the waste once the product is consumed)</t>
  </si>
  <si>
    <r>
      <t xml:space="preserve">Determined by individual winery and approved by IWCA Founding Members (2020 is </t>
    </r>
    <r>
      <rPr>
        <u/>
        <sz val="11"/>
        <color theme="9" tint="-0.499984740745262"/>
        <rFont val="Calibri"/>
        <family val="2"/>
      </rPr>
      <t>NOT</t>
    </r>
    <r>
      <rPr>
        <sz val="11"/>
        <color theme="9" tint="-0.499984740745262"/>
        <rFont val="Calibri"/>
        <family val="2"/>
      </rPr>
      <t xml:space="preserve"> recommended for baseline)</t>
    </r>
  </si>
  <si>
    <t>Note to the Auditor:</t>
  </si>
  <si>
    <t>Please fill out Rows 10-15 and
all fields in Columns E-G.</t>
  </si>
  <si>
    <t>Chosen by the winery (either liters fermented or liters bottled); the emissions intensity metric will be calculated in terms of CO2-equivalent/production unit</t>
  </si>
  <si>
    <t>See Section 4 of the "Process for Audit Companies to Evaluate IWCA Membership Requirements" document for guidance on how to complete the below fields.</t>
  </si>
  <si>
    <t>Winery Name</t>
  </si>
  <si>
    <t>to be input by auditor</t>
  </si>
  <si>
    <t>Geographic Scope</t>
  </si>
  <si>
    <t>Today's Date:</t>
  </si>
  <si>
    <t>Annual Production</t>
  </si>
  <si>
    <t>to be input by auditor (expressed in liters fermented or bottled; indicate both value and unit)</t>
  </si>
  <si>
    <t>Curent Audit Year:</t>
  </si>
  <si>
    <t>Reporting Timeframe</t>
  </si>
  <si>
    <t>to be input by auditor (indicate the 12-month period that encompasses the inventory)</t>
  </si>
  <si>
    <t>Baseline Audit Year:</t>
  </si>
  <si>
    <t>Winery/Brand Scope</t>
  </si>
  <si>
    <t>to be input by auditor (list all wineries or wine brands that would be eligible to feature the IWCA logo)</t>
  </si>
  <si>
    <t>3rd Party Auditor</t>
  </si>
  <si>
    <t>IWCA Inventory Completeness Validation</t>
  </si>
  <si>
    <t>All the inputs noted below must be considered, not necessarily grouped under the same categories but following the below classifications:</t>
  </si>
  <si>
    <t>The Auditor must select which categories apply to the current audit and if not, specify the reason why</t>
  </si>
  <si>
    <t>Applies (Yes/No)</t>
  </si>
  <si>
    <r>
      <t xml:space="preserve">Comments </t>
    </r>
    <r>
      <rPr>
        <sz val="11"/>
        <color theme="9" tint="-0.499984740745262"/>
        <rFont val="Calibri"/>
        <family val="2"/>
      </rPr>
      <t>(</t>
    </r>
    <r>
      <rPr>
        <i/>
        <u/>
        <sz val="11"/>
        <color theme="9" tint="-0.499984740745262"/>
        <rFont val="Calibri"/>
        <family val="2"/>
      </rPr>
      <t>Note</t>
    </r>
    <r>
      <rPr>
        <i/>
        <sz val="11"/>
        <color theme="9" tint="-0.499984740745262"/>
        <rFont val="Calibri"/>
        <family val="2"/>
      </rPr>
      <t>: If category does not apply, you must specify here the reason why</t>
    </r>
    <r>
      <rPr>
        <sz val="11"/>
        <color theme="9" tint="-0.499984740745262"/>
        <rFont val="Calibri"/>
        <family val="2"/>
      </rPr>
      <t>)^</t>
    </r>
  </si>
  <si>
    <t>Any/All fuel use for company business 
(winery / vineyard / logistics fuel use, natural gas, LPG, gasoline, diesel, butane, etc.)</t>
  </si>
  <si>
    <r>
      <t xml:space="preserve">Do </t>
    </r>
    <r>
      <rPr>
        <u/>
        <sz val="11"/>
        <color theme="9" tint="-0.499984740745262"/>
        <rFont val="Calibri"/>
        <family val="2"/>
      </rPr>
      <t>not</t>
    </r>
    <r>
      <rPr>
        <sz val="11"/>
        <color theme="9" tint="-0.499984740745262"/>
        <rFont val="Calibri"/>
        <family val="2"/>
      </rPr>
      <t xml:space="preserve"> include carbon removals (see Rows 73-74 and 86-92)</t>
    </r>
  </si>
  <si>
    <t>Any other accountable category</t>
  </si>
  <si>
    <t>Electricity purchased from local utility grid (either location-based or market-based emissions factors allowed)</t>
  </si>
  <si>
    <t>Self-generated onsite renewable energy as a % of all energy consumed by the winery (see Row 81 for guidance)</t>
  </si>
  <si>
    <t>&lt;-- Value populated from Cell E80</t>
  </si>
  <si>
    <r>
      <t xml:space="preserve">% Renewables in the winery's regional electricity grid (only required if winery is seeking Gold Membership and the value in Cell F31 is less than 20%) </t>
    </r>
    <r>
      <rPr>
        <b/>
        <sz val="11"/>
        <color theme="9" tint="-0.499984740745262"/>
        <rFont val="Calibri"/>
        <family val="2"/>
      </rPr>
      <t xml:space="preserve">Note: The % is calculated from the </t>
    </r>
    <r>
      <rPr>
        <b/>
        <u/>
        <sz val="11"/>
        <color theme="9" tint="-0.499984740745262"/>
        <rFont val="Calibri"/>
        <family val="2"/>
      </rPr>
      <t>entire</t>
    </r>
    <r>
      <rPr>
        <b/>
        <sz val="11"/>
        <color theme="9" tint="-0.499984740745262"/>
        <rFont val="Calibri"/>
        <family val="2"/>
      </rPr>
      <t xml:space="preserve"> regional grid, </t>
    </r>
    <r>
      <rPr>
        <b/>
        <u/>
        <sz val="11"/>
        <color theme="9" tint="-0.499984740745262"/>
        <rFont val="Calibri"/>
        <family val="2"/>
      </rPr>
      <t>not</t>
    </r>
    <r>
      <rPr>
        <b/>
        <sz val="11"/>
        <color theme="9" tint="-0.499984740745262"/>
        <rFont val="Calibri"/>
        <family val="2"/>
      </rPr>
      <t xml:space="preserve"> the winery's electricity supplier.</t>
    </r>
  </si>
  <si>
    <t>Indicate % value and source of data</t>
  </si>
  <si>
    <t>Crop protection materials (e.g., herbicides, pesticides, fungicides) and fertilizers production</t>
  </si>
  <si>
    <t>Any other packaging material</t>
  </si>
  <si>
    <t>Harvesting transport (for internal fruit only) and grape transport (for grower fruit only)</t>
  </si>
  <si>
    <t>Purchased bottling material and wine barrel transport</t>
  </si>
  <si>
    <t>Purchased wine and distillate transport (includes third-party transport of wine / juice between facilities)</t>
  </si>
  <si>
    <t>Biomass transport (used as fuel for biomass boiler)</t>
  </si>
  <si>
    <t>Wine club shipments</t>
  </si>
  <si>
    <t>Own land farming and/or harvesting performed by third party</t>
  </si>
  <si>
    <t>Location- / market-based transmission and distribution losses (from purchased electricity)</t>
  </si>
  <si>
    <r>
      <t xml:space="preserve">ISO-14064 Audit Summary
</t>
    </r>
    <r>
      <rPr>
        <sz val="10"/>
        <color rgb="FFFF0000"/>
        <rFont val="Calibri"/>
        <family val="2"/>
      </rPr>
      <t>The "GHG Emissions Breakdown" tab must be completed in order for emissions data to populate correctly in this table.</t>
    </r>
  </si>
  <si>
    <t xml:space="preserve">% of Current Year </t>
  </si>
  <si>
    <r>
      <t>Baseline Year (MTCO</t>
    </r>
    <r>
      <rPr>
        <b/>
        <vertAlign val="subscript"/>
        <sz val="11"/>
        <color rgb="FF272727"/>
        <rFont val="Calibri"/>
        <family val="2"/>
      </rPr>
      <t>2</t>
    </r>
    <r>
      <rPr>
        <b/>
        <sz val="11"/>
        <color rgb="FF272727"/>
        <rFont val="Calibri"/>
        <family val="2"/>
      </rPr>
      <t>e)*</t>
    </r>
  </si>
  <si>
    <t>% of Baseline Year</t>
  </si>
  <si>
    <r>
      <t>Absolute GHG Emissions "in-setting" (MTCO</t>
    </r>
    <r>
      <rPr>
        <b/>
        <vertAlign val="subscript"/>
        <sz val="16"/>
        <color theme="0"/>
        <rFont val="Calibri"/>
        <family val="2"/>
      </rPr>
      <t>2</t>
    </r>
    <r>
      <rPr>
        <b/>
        <sz val="16"/>
        <color theme="0"/>
        <rFont val="Calibri"/>
        <family val="2"/>
      </rPr>
      <t>e, only the below accepted)*</t>
    </r>
  </si>
  <si>
    <r>
      <t>GHG Emissions Intensity considering "in-setting" (KgCO</t>
    </r>
    <r>
      <rPr>
        <b/>
        <vertAlign val="subscript"/>
        <sz val="16"/>
        <color theme="0"/>
        <rFont val="Calibri"/>
        <family val="2"/>
      </rPr>
      <t>2</t>
    </r>
    <r>
      <rPr>
        <b/>
        <sz val="16"/>
        <color theme="0"/>
        <rFont val="Calibri"/>
        <family val="2"/>
      </rPr>
      <t xml:space="preserve">e/liter) </t>
    </r>
    <r>
      <rPr>
        <b/>
        <u/>
        <sz val="14"/>
        <rFont val="Calibri"/>
        <family val="2"/>
      </rPr>
      <t>Auditor</t>
    </r>
    <r>
      <rPr>
        <b/>
        <sz val="14"/>
        <rFont val="Calibri"/>
        <family val="2"/>
      </rPr>
      <t>: Use this value on the IWCA certificate</t>
    </r>
  </si>
  <si>
    <t>GHG Emissions Reduction Achieved vs Baseline Year (per liter)</t>
  </si>
  <si>
    <r>
      <t>GHG Emissions Reduction Achieved vs Baseline Year (absolute, MTCO</t>
    </r>
    <r>
      <rPr>
        <b/>
        <vertAlign val="subscript"/>
        <sz val="16"/>
        <color theme="0"/>
        <rFont val="Calibri"/>
        <family val="2"/>
      </rPr>
      <t>2</t>
    </r>
    <r>
      <rPr>
        <b/>
        <sz val="16"/>
        <color theme="0"/>
        <rFont val="Calibri"/>
        <family val="2"/>
      </rPr>
      <t>e)*</t>
    </r>
  </si>
  <si>
    <t>Self-Generated Onsite Renewable Energy as a Percent of All Energy Consumed by the Winery (see notes below)</t>
  </si>
  <si>
    <t>•  IWCA defines “renewable energy” according to the World Resources Institute’s GHG Protocol: "Energy taken from sources that are inexhaustible, e.g., wind, water, solar, geothermal energy, and biofuels." IWCA considers biomass used for fuel as renewable energy.
• “All energy consumed by the winery” refers to both all stationary energy produced related to Scope 1 and all electricity consumed related to Scope 2, including renewable and/or self-generated electricity.
• The self-generated onsite renewable energy percentage shall be based on total energy consumption over a 12-month period. This 12-month period must align with either: (a) the reporting timeframe of the winery’s current year GHG inventory, or (b) the reporting timeframe of a future year GHG inventory for the winery, as long as that timeframe has passed in real time.</t>
  </si>
  <si>
    <t>Value pulled from Electricity worksheet</t>
  </si>
  <si>
    <r>
      <t xml:space="preserve">Enter 12-month period above
</t>
    </r>
    <r>
      <rPr>
        <i/>
        <sz val="10"/>
        <color theme="9" tint="-0.499984740745262"/>
        <rFont val="Calibri"/>
        <family val="2"/>
      </rPr>
      <t>(usually the same as the Current Year inventory reporting timeframe, see notes in Cell C81)</t>
    </r>
  </si>
  <si>
    <t>Auditor Comments to justify emissions reduction/increase of more than 10% (OPTIONAL)</t>
  </si>
  <si>
    <r>
      <rPr>
        <b/>
        <sz val="14"/>
        <color theme="9" tint="-0.499984740745262"/>
        <rFont val="Calibri"/>
        <family val="2"/>
      </rPr>
      <t>Optional</t>
    </r>
    <r>
      <rPr>
        <sz val="14"/>
        <color theme="9" tint="-0.499984740745262"/>
        <rFont val="Calibri"/>
        <family val="2"/>
      </rPr>
      <t xml:space="preserve"> Best Practice: Anthropogenic Biogenic Emissions (tracked but not included in Scopes 1-2-3)</t>
    </r>
  </si>
  <si>
    <t xml:space="preserve"> </t>
  </si>
  <si>
    <r>
      <rPr>
        <b/>
        <sz val="14"/>
        <color theme="9" tint="-0.499984740745262"/>
        <rFont val="Calibri"/>
        <family val="2"/>
      </rPr>
      <t>Optional</t>
    </r>
    <r>
      <rPr>
        <sz val="14"/>
        <color theme="9" tint="-0.499984740745262"/>
        <rFont val="Calibri"/>
        <family val="2"/>
      </rPr>
      <t xml:space="preserve"> Best Practice: Short Term Carbon Cycle (tracked but not included in Scopes 1-2-3)</t>
    </r>
  </si>
  <si>
    <t>Winemaking fermentation emissions</t>
  </si>
  <si>
    <t>Vineyard biomass photosynthesis</t>
  </si>
  <si>
    <t>Row cropping sequestration</t>
  </si>
  <si>
    <t>Compost application</t>
  </si>
  <si>
    <r>
      <t xml:space="preserve">Please remind the winery to complete the GHG Emissions Breakdown worksheet/tab. The auditor does </t>
    </r>
    <r>
      <rPr>
        <b/>
        <u/>
        <sz val="11"/>
        <color theme="9" tint="-0.499984740745262"/>
        <rFont val="Calibri"/>
        <family val="2"/>
      </rPr>
      <t>NOT</t>
    </r>
    <r>
      <rPr>
        <sz val="11"/>
        <color theme="9" tint="-0.499984740745262"/>
        <rFont val="Calibri"/>
        <family val="2"/>
      </rPr>
      <t xml:space="preserve"> need to verify the GHG Emissions Breakdown tab.</t>
    </r>
  </si>
  <si>
    <r>
      <t xml:space="preserve">Exceptions: </t>
    </r>
    <r>
      <rPr>
        <i/>
        <sz val="10"/>
        <color theme="9" tint="-0.499984740745262"/>
        <rFont val="Calibri"/>
        <family val="2"/>
      </rPr>
      <t>If a winery can demonstrate that any given emissions category is less than 1% of its total annual emissions, and ongoing data collection is determined to be overly time consuming or unreliable, it is acceptable to only perform the GHG calculation in the baseline year and reuse the calculated emissions number for future years without recalculating it, unless the production volume incresases by more than 5% versus the baseline year, where in that case the emissons number has to be increased proportionally. Case-by-case exceptions are subject to IWCA Board of Directors approval.</t>
    </r>
  </si>
  <si>
    <r>
      <rPr>
        <b/>
        <u/>
        <sz val="14"/>
        <color rgb="FF376189"/>
        <rFont val="Calibri"/>
        <family val="2"/>
      </rPr>
      <t>Footnotes</t>
    </r>
    <r>
      <rPr>
        <b/>
        <u/>
        <sz val="14"/>
        <color theme="9" tint="-0.499984740745262"/>
        <rFont val="Calibri"/>
        <family val="2"/>
      </rPr>
      <t xml:space="preserve">
</t>
    </r>
    <r>
      <rPr>
        <sz val="11"/>
        <color theme="9" tint="-0.499984740745262"/>
        <rFont val="Calibri"/>
        <family val="2"/>
      </rPr>
      <t xml:space="preserve">
</t>
    </r>
    <r>
      <rPr>
        <b/>
        <sz val="11"/>
        <color theme="9" tint="-0.499984740745262"/>
        <rFont val="Calibri"/>
        <family val="2"/>
      </rPr>
      <t>^</t>
    </r>
    <r>
      <rPr>
        <sz val="11"/>
        <color theme="9" tint="-0.499984740745262"/>
        <rFont val="Calibri"/>
        <family val="2"/>
      </rPr>
      <t xml:space="preserve"> Please be detailed in your descriptions. For example, if a winery only uses well water and thus excludes emissions from the “Purchased municipal water” category, please specify, “Winery only uses well water” instead of simply, “Does not apply.”  Some additional notes:
</t>
    </r>
    <r>
      <rPr>
        <sz val="11"/>
        <color theme="9" tint="-0.499984740745262"/>
        <rFont val="Wingdings"/>
        <charset val="2"/>
      </rPr>
      <t xml:space="preserve"> ü</t>
    </r>
    <r>
      <rPr>
        <sz val="11"/>
        <color theme="9" tint="-0.499984740745262"/>
        <rFont val="Calibri"/>
        <family val="2"/>
      </rPr>
      <t xml:space="preserve">  The winery </t>
    </r>
    <r>
      <rPr>
        <b/>
        <u/>
        <sz val="11"/>
        <color theme="9" tint="-0.499984740745262"/>
        <rFont val="Calibri"/>
        <family val="2"/>
      </rPr>
      <t>must</t>
    </r>
    <r>
      <rPr>
        <sz val="11"/>
        <color theme="9" tint="-0.499984740745262"/>
        <rFont val="Calibri"/>
        <family val="2"/>
      </rPr>
      <t xml:space="preserve"> consider each emissions category as 
           part of its inventory. As such, "Did not calculate" or 
           "Did not report" is not a sufficient explanation.
     </t>
    </r>
    <r>
      <rPr>
        <sz val="11"/>
        <color theme="9" tint="-0.499984740745262"/>
        <rFont val="Wingdings"/>
        <charset val="2"/>
      </rPr>
      <t>ü</t>
    </r>
    <r>
      <rPr>
        <sz val="11"/>
        <color theme="9" tint="-0.499984740745262"/>
        <rFont val="Calibri"/>
        <family val="2"/>
      </rPr>
      <t xml:space="preserve">  If emissions are excluded from a specific category due 
           to falling below an X% materiality threshold, please 
           indicate this (along with the “X” amount).
</t>
    </r>
    <r>
      <rPr>
        <sz val="11"/>
        <color theme="9" tint="-0.499984740745262"/>
        <rFont val="Wingdings"/>
        <charset val="2"/>
      </rPr>
      <t xml:space="preserve"> ü</t>
    </r>
    <r>
      <rPr>
        <sz val="11"/>
        <color theme="9" tint="-0.499984740745262"/>
        <rFont val="Calibri"/>
        <family val="2"/>
      </rPr>
      <t xml:space="preserve">  If emissions in a specific category are already 
           accounted for in another category, indicate the 
           category under which those emissions fall.
Please reach out to IWCA with any questions: https://www.iwcawine.org/contact-us
</t>
    </r>
    <r>
      <rPr>
        <b/>
        <sz val="11"/>
        <color theme="9" tint="-0.499984740745262"/>
        <rFont val="Calibri"/>
        <family val="2"/>
      </rPr>
      <t xml:space="preserve">
* </t>
    </r>
    <r>
      <rPr>
        <sz val="11"/>
        <color theme="9" tint="-0.499984740745262"/>
        <rFont val="Calibri"/>
        <family val="2"/>
      </rPr>
      <t>MTCO</t>
    </r>
    <r>
      <rPr>
        <vertAlign val="subscript"/>
        <sz val="11"/>
        <color theme="9" tint="-0.499984740745262"/>
        <rFont val="Calibri"/>
        <family val="2"/>
      </rPr>
      <t>2</t>
    </r>
    <r>
      <rPr>
        <sz val="11"/>
        <color theme="9" tint="-0.499984740745262"/>
        <rFont val="Calibri"/>
        <family val="2"/>
      </rPr>
      <t xml:space="preserve">e stands for "metric tons of carbon dioxide equivalent." The "M" does </t>
    </r>
    <r>
      <rPr>
        <b/>
        <u/>
        <sz val="11"/>
        <color theme="9" tint="-0.499984740745262"/>
        <rFont val="Calibri"/>
        <family val="2"/>
      </rPr>
      <t>not</t>
    </r>
    <r>
      <rPr>
        <sz val="11"/>
        <color theme="9" tint="-0.499984740745262"/>
        <rFont val="Calibri"/>
        <family val="2"/>
      </rPr>
      <t xml:space="preserve"> stand for "Mega."</t>
    </r>
  </si>
  <si>
    <r>
      <rPr>
        <b/>
        <sz val="11"/>
        <color theme="9" tint="-0.499984740745262"/>
        <rFont val="Calibri"/>
        <family val="2"/>
      </rPr>
      <t>(1)</t>
    </r>
    <r>
      <rPr>
        <sz val="11"/>
        <color theme="9" tint="-0.499984740745262"/>
        <rFont val="Calibri"/>
        <family val="2"/>
      </rPr>
      <t xml:space="preserve"> The inventory must include the main winery (in bottle production) of the organization. 
</t>
    </r>
    <r>
      <rPr>
        <b/>
        <sz val="11"/>
        <color theme="9" tint="-0.499984740745262"/>
        <rFont val="Calibri"/>
        <family val="2"/>
      </rPr>
      <t>(2)</t>
    </r>
    <r>
      <rPr>
        <sz val="11"/>
        <color theme="9" tint="-0.499984740745262"/>
        <rFont val="Calibri"/>
        <family val="2"/>
      </rPr>
      <t xml:space="preserve"> The inventory must include any other winery in the region so that the audit represents at least 90% of the organization’s volume in the specified region. The wineries’ facilities need also to be included (owned logistics warehouse, water treatment plant, offices, hospitality centers, etc.)
</t>
    </r>
    <r>
      <rPr>
        <b/>
        <sz val="11"/>
        <color theme="9" tint="-0.499984740745262"/>
        <rFont val="Calibri"/>
        <family val="2"/>
      </rPr>
      <t xml:space="preserve">(3) </t>
    </r>
    <r>
      <rPr>
        <sz val="11"/>
        <color theme="9" tint="-0.499984740745262"/>
        <rFont val="Calibri"/>
        <family val="2"/>
      </rPr>
      <t>Emissions reductions must be based on own efforts (i.e., no external compensations or offsets, including Renewable Energy Credits [RECs] or Guarantees of Origin [GOs] linked to energy generated outside of the electricity grid from which the winery consumes its electricity, nor CO</t>
    </r>
    <r>
      <rPr>
        <vertAlign val="subscript"/>
        <sz val="11"/>
        <color theme="9" tint="-0.499984740745262"/>
        <rFont val="Calibri"/>
        <family val="2"/>
      </rPr>
      <t>2</t>
    </r>
    <r>
      <rPr>
        <sz val="11"/>
        <color theme="9" tint="-0.499984740745262"/>
        <rFont val="Calibri"/>
        <family val="2"/>
      </rPr>
      <t xml:space="preserve"> stored in planted vines, stoppers, or barrels). The use of external offsets is restricted, since IWCA’s approach is consistent with wineries reducing their own emissions as a key priority and by themselves, without relying on offsetting solutions. 
</t>
    </r>
    <r>
      <rPr>
        <b/>
        <sz val="11"/>
        <color theme="9" tint="-0.499984740745262"/>
        <rFont val="Calibri"/>
        <family val="2"/>
      </rPr>
      <t xml:space="preserve">(4) </t>
    </r>
    <r>
      <rPr>
        <sz val="11"/>
        <color theme="9" tint="-0.499984740745262"/>
        <rFont val="Calibri"/>
        <family val="2"/>
      </rPr>
      <t xml:space="preserve">Third-party verified reforestation or other carbon sequestration projects are acceptable on owned or permanently protected land that meets globally recognized permanence and additionality requirements for nature-based carbon removal. IWCA reserves the right to limit internal offsets up to a certain percentage of a winery’s carbon footprint, as it relates to obtaining Gold-level membership.
</t>
    </r>
    <r>
      <rPr>
        <b/>
        <sz val="11"/>
        <color theme="9" tint="-0.499984740745262"/>
        <rFont val="Calibri"/>
        <family val="2"/>
      </rPr>
      <t>(5)</t>
    </r>
    <r>
      <rPr>
        <sz val="11"/>
        <color theme="9" tint="-0.499984740745262"/>
        <rFont val="Calibri"/>
        <family val="2"/>
      </rPr>
      <t xml:space="preserve"> Market-based emissions factors for electricity emissions are acceptable. Market-based emissions factors may account for the purchase of grid-sourced renewable electricity so long as the renewable generation source/origin is verifiably connected to the same electricity grid from which the winery consumes its electricity. No other grid-sourced renewable electricity may be accounted for. All renewable electricity purchases are subject to IWCA approval on a case-by-case basis to ensure integrity. Renewable electricity purchases can only be used to cumulatively reduce a winery’s Scope 2 emissions toward zero (0) and can never be used to generate negative emissions.
</t>
    </r>
    <r>
      <rPr>
        <b/>
        <sz val="11"/>
        <color theme="9" tint="-0.499984740745262"/>
        <rFont val="Calibri"/>
        <family val="2"/>
      </rPr>
      <t xml:space="preserve">(6) </t>
    </r>
    <r>
      <rPr>
        <sz val="11"/>
        <color theme="9" tint="-0.499984740745262"/>
        <rFont val="Calibri"/>
        <family val="2"/>
      </rPr>
      <t xml:space="preserve">The inventory can model Short Term Carbon Cycle emissions (vineyard photosynthesis, soil carbon sequestration and emissions from wine fermentation) but these cannot be included in Scopes 1, 2, or 3.
</t>
    </r>
    <r>
      <rPr>
        <b/>
        <sz val="11"/>
        <color theme="9" tint="-0.499984740745262"/>
        <rFont val="Calibri"/>
        <family val="2"/>
      </rPr>
      <t>(7)</t>
    </r>
    <r>
      <rPr>
        <sz val="11"/>
        <color theme="9" tint="-0.499984740745262"/>
        <rFont val="Calibri"/>
        <family val="2"/>
      </rPr>
      <t xml:space="preserve"> Purchases or sales of Renewable Energy Credits (RECs) do not satisfy the criteria for onsite renewables or the GHG audit.
</t>
    </r>
    <r>
      <rPr>
        <b/>
        <sz val="11"/>
        <color theme="9" tint="-0.499984740745262"/>
        <rFont val="Calibri"/>
        <family val="2"/>
      </rPr>
      <t>(8)</t>
    </r>
    <r>
      <rPr>
        <sz val="11"/>
        <color theme="9" tint="-0.499984740745262"/>
        <rFont val="Calibri"/>
        <family val="2"/>
      </rPr>
      <t xml:space="preserve"> Renewable energy purchased from the public electricity grid does not satisfy criteria (unless local grid is 100% renewable).</t>
    </r>
  </si>
  <si>
    <t>Enter all stationary fuels used in direct operations including natural gas, LPG, diesel generators.
Enter as total volume (most desired) or dollars spent
Input Natural Gas Scope 3 emissions factor based on State or territory</t>
  </si>
  <si>
    <t>Color Key</t>
  </si>
  <si>
    <t>To be filled in:</t>
  </si>
  <si>
    <t>Calculated:</t>
  </si>
  <si>
    <t>Constants:</t>
  </si>
  <si>
    <t>Scope 1 
(Direct)</t>
  </si>
  <si>
    <t>Scope 3 
(Upstream)</t>
  </si>
  <si>
    <t>Total CO2e 
(metric ton)</t>
  </si>
  <si>
    <t>kWh</t>
  </si>
  <si>
    <t>Heating value (mmBTU)</t>
  </si>
  <si>
    <t>Total Stationary Energy used</t>
  </si>
  <si>
    <t>Total</t>
  </si>
  <si>
    <t>Natural Gas (kWh, GJ, or spend)</t>
  </si>
  <si>
    <t>Natural Gas (kWh)</t>
  </si>
  <si>
    <t>Source Data from:</t>
  </si>
  <si>
    <t>Location</t>
  </si>
  <si>
    <t>Natural Gas 
(kWh)</t>
  </si>
  <si>
    <t>kWh to GJ
(GJ)</t>
  </si>
  <si>
    <t>Total CH4 CO2e 
(metric ton)</t>
  </si>
  <si>
    <t>Total N2O CO2e 
(metric ton)</t>
  </si>
  <si>
    <t xml:space="preserve">*Scope 3 emission factor average for Argentina. Regional specific factors available in EF tab. </t>
  </si>
  <si>
    <t>TOTAL</t>
  </si>
  <si>
    <t>OR</t>
  </si>
  <si>
    <t>Natural Gas (GJ)</t>
  </si>
  <si>
    <t>Natural Gas 
(GJ)</t>
  </si>
  <si>
    <t xml:space="preserve">*Scope 3 emission factor average for Argentina and Chile. Regional specific factors available in EF tab. </t>
  </si>
  <si>
    <t>Need to convert natural gas units?</t>
  </si>
  <si>
    <t>CLICK HERE</t>
  </si>
  <si>
    <t>Natural Gas (ARS)</t>
  </si>
  <si>
    <t>Pesos Spent (ARS)</t>
  </si>
  <si>
    <t xml:space="preserve">*Scope 3 emission factor average of Chile and Argentina. Regional specific factors available in EF tab. </t>
  </si>
  <si>
    <t>LPG (litres)</t>
  </si>
  <si>
    <t>Total Stationary fuel used</t>
  </si>
  <si>
    <t>Volume
(Litre)</t>
  </si>
  <si>
    <t>Volume
(kL)</t>
  </si>
  <si>
    <t>Energy
(GJ)</t>
  </si>
  <si>
    <t>Gallons used</t>
  </si>
  <si>
    <t>Standard Cubic Feet</t>
  </si>
  <si>
    <t>Heating Value 
(MMBtu)</t>
  </si>
  <si>
    <t>Need to convert LPG units?</t>
  </si>
  <si>
    <t>LPG (pesos spent)</t>
  </si>
  <si>
    <t xml:space="preserve">Diesel  </t>
  </si>
  <si>
    <t>Diesel (for generators)</t>
  </si>
  <si>
    <t>Petrol (by Litres or total dollars spent)</t>
  </si>
  <si>
    <t>Petrol (Litre)</t>
  </si>
  <si>
    <t>Petrol
(litre)</t>
  </si>
  <si>
    <t>Petrol (kL)</t>
  </si>
  <si>
    <t>Total CO2
(metric ton)</t>
  </si>
  <si>
    <t>Petrol (by vehicle kilometers traveled)</t>
  </si>
  <si>
    <t>Petrol - Passenger Vehicles</t>
  </si>
  <si>
    <t>Total Distance Driven
(km)</t>
  </si>
  <si>
    <t>Total Petrol
(kL)</t>
  </si>
  <si>
    <t>Petrol - Light Duty Trucks</t>
  </si>
  <si>
    <t>Petrol (CLP spent)</t>
  </si>
  <si>
    <t>Enter all mobile fuels used in direct operations including natural gas, propane, diesel generators.
Enter as total volume (most desired), miles traveled (second most desired) or dollars spent
Do not double count (e.g. inputting gallons used for vehicles that also have miles traveled input)
This is for company-owned vehicles only (personal vehicle use, taxis etc. included in Business Travel)</t>
  </si>
  <si>
    <t>Scope 1 (Direct)</t>
  </si>
  <si>
    <t>Scope 3 (Upstream)</t>
  </si>
  <si>
    <t>Diesel - On Road</t>
  </si>
  <si>
    <t>Diesel - for Agriculture</t>
  </si>
  <si>
    <t>Aviation Fuel</t>
  </si>
  <si>
    <t>Petrol (by Litres, spend, or vehicle-km)</t>
  </si>
  <si>
    <t>Kiloliters
(kL)</t>
  </si>
  <si>
    <t>Petrol (ARS spent)</t>
  </si>
  <si>
    <t>Total Petrol
(litre)</t>
  </si>
  <si>
    <t>On Road Diesel (by litres, spend, or vehicle-km)</t>
  </si>
  <si>
    <t>Diesel (litres)</t>
  </si>
  <si>
    <t>Diesel 
(litres)</t>
  </si>
  <si>
    <t>On Road Diesel (by vehicle kilometer traveled)</t>
  </si>
  <si>
    <t>Diesel - Light Duty Trucks</t>
  </si>
  <si>
    <t>Total Diesel
(kL)</t>
  </si>
  <si>
    <t>Diesel - Heavy Duty Trucks</t>
  </si>
  <si>
    <t>Diesel (CLP spent)</t>
  </si>
  <si>
    <t>Diesel Litres</t>
  </si>
  <si>
    <t>Diesel for Agriculture (by litres or total dollars spent)</t>
  </si>
  <si>
    <t>Diesel for Agriculture (litres)</t>
  </si>
  <si>
    <t>Diesel for Agriculture
(litre)</t>
  </si>
  <si>
    <t>Diesel for Agriculture (Pesos spent)</t>
  </si>
  <si>
    <t>LPG (by litres or total Pesos spent)</t>
  </si>
  <si>
    <t>Litres</t>
  </si>
  <si>
    <t>Kilolitres</t>
  </si>
  <si>
    <t>Need to convert propane units?</t>
  </si>
  <si>
    <t>Pesos Spent</t>
  </si>
  <si>
    <t>LPG (kL)</t>
  </si>
  <si>
    <t xml:space="preserve">Aviation Fuel </t>
  </si>
  <si>
    <t>Total Aviation Fuel 
(litre)</t>
  </si>
  <si>
    <t>Aviation Fuel (Kerosene)</t>
  </si>
  <si>
    <t>Total Kerosene Aviation Fuel 
(litre)</t>
  </si>
  <si>
    <t>Helicopters (hours)</t>
  </si>
  <si>
    <t>Emission Source</t>
  </si>
  <si>
    <t>Hours used</t>
  </si>
  <si>
    <t>kgCO2e/hr</t>
  </si>
  <si>
    <t>Total CO2 Equivalents 
(metric tons)</t>
  </si>
  <si>
    <t>Total Upstream CO2 Equivalents 
(metric tons)</t>
  </si>
  <si>
    <t>Eurocopter AS 350B Squirrel</t>
  </si>
  <si>
    <t>Eurocopter AS 350B3 Squirrel</t>
  </si>
  <si>
    <t>Robinson R44</t>
  </si>
  <si>
    <t>Robinson R22 Beta</t>
  </si>
  <si>
    <t>Bell 206B</t>
  </si>
  <si>
    <t>Use blue rows to input helicopter information for helicopters that are not included in the first 5 rows</t>
  </si>
  <si>
    <t xml:space="preserve">* The Upstream Emission Factor is the same as that used for aviation fuel. If there is a more accurate emission factor, please replace the multiplier of 'Emission Factors'!$F$40 in Column E with your own. </t>
  </si>
  <si>
    <t>Include source data in Source data from</t>
  </si>
  <si>
    <t>Vineyard Soil and Fertilizer Emissions</t>
  </si>
  <si>
    <t>Enter total hectares of each vineyard.
Enter total kg of N used on each vineyard (not total kg of fertilizer, only total N).
In other fertilizers, enter total kg of fertilizer used on vineyard</t>
  </si>
  <si>
    <t>Summary</t>
  </si>
  <si>
    <t>Fertilizer Emissions CO2 
(mte)</t>
  </si>
  <si>
    <t>Soil Emissions CO2 
(mte)</t>
  </si>
  <si>
    <t>Nitrogen-based fertilizers</t>
  </si>
  <si>
    <t>Hectares</t>
  </si>
  <si>
    <t>Sum of Total N 
(kg)</t>
  </si>
  <si>
    <t>N2O 
(kg)</t>
  </si>
  <si>
    <t>CO2 from Soil Emissions 
(metric tonne)</t>
  </si>
  <si>
    <t>TOTALS</t>
  </si>
  <si>
    <t>Fertilizer Emissions</t>
  </si>
  <si>
    <t>CO2 Equivalents
(metric tonne)</t>
  </si>
  <si>
    <t>Indirect N2O emissions - volatilization</t>
  </si>
  <si>
    <t>Indirect N2O emissions - leaching</t>
  </si>
  <si>
    <t>N-Fertilizer used 
(kg)</t>
  </si>
  <si>
    <t>N content
(%)</t>
  </si>
  <si>
    <t>Total N Input
(kg)</t>
  </si>
  <si>
    <t>% Volatized N 
as NH3 and Nox</t>
  </si>
  <si>
    <t>Volatized N
(kg)</t>
  </si>
  <si>
    <t>Unvolatized N input
(kg)</t>
  </si>
  <si>
    <t>% of N leaching 
(from total input)</t>
  </si>
  <si>
    <t>Leached N
(kg)</t>
  </si>
  <si>
    <r>
      <t>Emission Factors</t>
    </r>
    <r>
      <rPr>
        <sz val="12"/>
        <rFont val="Calibri"/>
        <family val="2"/>
        <scheme val="minor"/>
      </rPr>
      <t xml:space="preserve">: All emission factors are obtained from the IPCC website: http://www.ipcc-nggip.iges.or.jp/EFDB/find_ef.php. </t>
    </r>
  </si>
  <si>
    <t>Methodology: The GHG emissions from the application of N-containing fertilizers are calculated using the methodology as described in the U.S. Agriculture and Forestry Greenhouse Gas Inventory: 1990-2001, Chapter 3: Cropland Agriculture (p. 67, 68) (http://www.usda.gov/oce/global_change/inventory_1990_2001/USDA%20GHG%20Inventory%20Chapter%203.pdf)</t>
  </si>
  <si>
    <t xml:space="preserve">Indirect N2O emissions from volatilization of NH3 and NOx </t>
  </si>
  <si>
    <t>Total volatized N
(kg)</t>
  </si>
  <si>
    <t>Direct Emissions
(kg N)</t>
  </si>
  <si>
    <t>Direct Emissions
(kg N2O)</t>
  </si>
  <si>
    <t>Indirect N2O emissions from leaching and run-off</t>
  </si>
  <si>
    <t>Total  leached N
(kg)</t>
  </si>
  <si>
    <t>Other fertilizers</t>
  </si>
  <si>
    <r>
      <t>Weight (</t>
    </r>
    <r>
      <rPr>
        <b/>
        <sz val="12"/>
        <color theme="1"/>
        <rFont val="Calibri"/>
        <family val="2"/>
        <scheme val="minor"/>
      </rPr>
      <t>kg</t>
    </r>
    <r>
      <rPr>
        <sz val="12"/>
        <color theme="1"/>
        <rFont val="Calibri"/>
        <family val="2"/>
        <scheme val="minor"/>
      </rPr>
      <t>) of product applied to fields</t>
    </r>
  </si>
  <si>
    <t>Total CO2e 
(metric tons)</t>
  </si>
  <si>
    <t>P2O5 Fertilizer</t>
  </si>
  <si>
    <t>K20 Fertilizer</t>
  </si>
  <si>
    <t>Lime</t>
  </si>
  <si>
    <t>Wastewater Emissions</t>
  </si>
  <si>
    <t>Enter total litres of wastewater treated onsite and offsite.
Enter average chemical oxygen demand (COD) of wastewater.
Enter kgs of different waste treated onsite in facilities owned/controlled by reporting company.</t>
  </si>
  <si>
    <t>Total CO2e 
(metric tonne)</t>
  </si>
  <si>
    <t>Onsite wastewater Treatment</t>
  </si>
  <si>
    <t>Recycling</t>
  </si>
  <si>
    <t>Composting/Mixed Organics</t>
  </si>
  <si>
    <t>All Landfilled Waste</t>
  </si>
  <si>
    <t>Onsite Wastewater Treatment</t>
  </si>
  <si>
    <t>Includes wastewater treated ontsite in facilities owned or controlled by the reporting company is accounted for in scope 1. If treated by a third-party, please include in Offsite Waste in scope 3</t>
  </si>
  <si>
    <t>Wastewater 
(litres)</t>
  </si>
  <si>
    <t>Wastewater 
(kL)</t>
  </si>
  <si>
    <t>Chemical Oxygen Demand (COD) 
(kg per kL)</t>
  </si>
  <si>
    <t>CO2 
(metric tons)</t>
  </si>
  <si>
    <t>Electricity for Wastewater Treatment already included in total Electricity consumption, therefor calculation only requires 2/3 of expected emissions</t>
  </si>
  <si>
    <t>calculation confirmed through estimates of 10-17kg CO2e/m3 Water treatment Rosso et al (2009)</t>
  </si>
  <si>
    <t>*3.711 is common COD of winery wastewater; assumes no captured methane</t>
  </si>
  <si>
    <t>Onsite Waste Treatment</t>
  </si>
  <si>
    <t>Includes waste treated ontsite in facilities owned or controlled by the reporting company is accounted for in scope 1. If treated by a third-party, please include in Offsite Waste in scope 3</t>
  </si>
  <si>
    <t>Municipal Solid Waste</t>
  </si>
  <si>
    <t>Commercial &amp; Industrial Waste</t>
  </si>
  <si>
    <t>Construction Waste</t>
  </si>
  <si>
    <t>Total Mixed Recycling 
(kg)</t>
  </si>
  <si>
    <t>Total Mixed Recycling 
(metric tonne)</t>
  </si>
  <si>
    <t>Recycling 
Total CO2-e
(metric tonne)</t>
  </si>
  <si>
    <t>Total Compost
(kg)</t>
  </si>
  <si>
    <t>Mixed Organic Compost 
Total CO2-e 
(metric tonne)</t>
  </si>
  <si>
    <t>Total Solid Waste
(kg)</t>
  </si>
  <si>
    <t>Total Solid Waste
(metric tonne)</t>
  </si>
  <si>
    <t>Municipal Waste 
Total CO2 Equivalents 
(metric tonne)</t>
  </si>
  <si>
    <t>Commercial  Waste
Total CO2 Equivalents 
(metric tonne)</t>
  </si>
  <si>
    <t>Construction Waste
Total CO2 Equivalents 
(metric tonne)</t>
  </si>
  <si>
    <t>Enter total amount (kg) of each refrigerant purchased or used during reporting period.</t>
  </si>
  <si>
    <t>Refrigerant Emissions</t>
  </si>
  <si>
    <t xml:space="preserve">Industrial Designation or Common Name </t>
  </si>
  <si>
    <t>Chemical formula</t>
  </si>
  <si>
    <t>Amount
(kg)</t>
  </si>
  <si>
    <t>Alternate Name</t>
  </si>
  <si>
    <t>Carbon dioxide (R - 744)</t>
  </si>
  <si>
    <r>
      <t>CO</t>
    </r>
    <r>
      <rPr>
        <vertAlign val="subscript"/>
        <sz val="14"/>
        <color rgb="FF000000"/>
        <rFont val="Calibri"/>
        <family val="2"/>
        <scheme val="minor"/>
      </rPr>
      <t>2 </t>
    </r>
    <r>
      <rPr>
        <sz val="14"/>
        <color rgb="FF000000"/>
        <rFont val="Calibri"/>
        <family val="2"/>
        <scheme val="minor"/>
      </rPr>
      <t> </t>
    </r>
  </si>
  <si>
    <t xml:space="preserve">CO2 </t>
  </si>
  <si>
    <t>Carbon dioxide</t>
  </si>
  <si>
    <t>Methane</t>
  </si>
  <si>
    <r>
      <t>CH</t>
    </r>
    <r>
      <rPr>
        <vertAlign val="subscript"/>
        <sz val="14"/>
        <color rgb="FF000000"/>
        <rFont val="Calibri"/>
        <family val="2"/>
        <scheme val="minor"/>
      </rPr>
      <t>4 </t>
    </r>
  </si>
  <si>
    <t>Nitrous oxide (R-744a)</t>
  </si>
  <si>
    <r>
      <t>N</t>
    </r>
    <r>
      <rPr>
        <vertAlign val="subscript"/>
        <sz val="14"/>
        <color rgb="FF000000"/>
        <rFont val="Calibri"/>
        <family val="2"/>
        <scheme val="minor"/>
      </rPr>
      <t>2</t>
    </r>
    <r>
      <rPr>
        <sz val="14"/>
        <color rgb="FF000000"/>
        <rFont val="Calibri"/>
        <family val="2"/>
        <scheme val="minor"/>
      </rPr>
      <t>O </t>
    </r>
  </si>
  <si>
    <t>Sulphur hexafluoride</t>
  </si>
  <si>
    <t>SF6</t>
  </si>
  <si>
    <t xml:space="preserve">Substances controlled by the Montreal Protocol </t>
  </si>
  <si>
    <t>CFC-11  (R-11)</t>
  </si>
  <si>
    <t>CFC-12  (R-12)</t>
  </si>
  <si>
    <t>CFC-13  (R-13)</t>
  </si>
  <si>
    <t>CFC-113  (R-113)</t>
  </si>
  <si>
    <t>CFC-114  (R-114)</t>
  </si>
  <si>
    <t>CFC-115  (R-115)</t>
  </si>
  <si>
    <t>Gas R-410A (Kg)</t>
  </si>
  <si>
    <t>Gas R 404 (Kg)</t>
  </si>
  <si>
    <t>Halon-1301  (R-1301)</t>
  </si>
  <si>
    <r>
      <t>CBrF</t>
    </r>
    <r>
      <rPr>
        <vertAlign val="subscript"/>
        <sz val="14"/>
        <color rgb="FF000000"/>
        <rFont val="Calibri"/>
        <family val="2"/>
        <scheme val="minor"/>
      </rPr>
      <t>3 </t>
    </r>
    <r>
      <rPr>
        <sz val="14"/>
        <color rgb="FF000000"/>
        <rFont val="Calibri"/>
        <family val="2"/>
        <scheme val="minor"/>
      </rPr>
      <t> </t>
    </r>
  </si>
  <si>
    <t>Halon-1211  (R-1211)</t>
  </si>
  <si>
    <r>
      <t>CBrClF</t>
    </r>
    <r>
      <rPr>
        <vertAlign val="subscript"/>
        <sz val="14"/>
        <color rgb="FF000000"/>
        <rFont val="Calibri"/>
        <family val="2"/>
        <scheme val="minor"/>
      </rPr>
      <t>2 </t>
    </r>
    <r>
      <rPr>
        <sz val="14"/>
        <color rgb="FF000000"/>
        <rFont val="Calibri"/>
        <family val="2"/>
        <scheme val="minor"/>
      </rPr>
      <t> </t>
    </r>
  </si>
  <si>
    <t>Halon-2402  (R-2402)</t>
  </si>
  <si>
    <r>
      <t>CBrF</t>
    </r>
    <r>
      <rPr>
        <vertAlign val="subscript"/>
        <sz val="14"/>
        <color rgb="FF000000"/>
        <rFont val="Calibri"/>
        <family val="2"/>
        <scheme val="minor"/>
      </rPr>
      <t>2</t>
    </r>
    <r>
      <rPr>
        <sz val="14"/>
        <color rgb="FF000000"/>
        <rFont val="Calibri"/>
        <family val="2"/>
        <scheme val="minor"/>
      </rPr>
      <t>CBrF</t>
    </r>
    <r>
      <rPr>
        <vertAlign val="subscript"/>
        <sz val="14"/>
        <color rgb="FF000000"/>
        <rFont val="Calibri"/>
        <family val="2"/>
        <scheme val="minor"/>
      </rPr>
      <t>2 </t>
    </r>
    <r>
      <rPr>
        <sz val="14"/>
        <color rgb="FF000000"/>
        <rFont val="Calibri"/>
        <family val="2"/>
        <scheme val="minor"/>
      </rPr>
      <t> </t>
    </r>
  </si>
  <si>
    <t>Carbon tetrachloride  (R-10)</t>
  </si>
  <si>
    <r>
      <t>CCl</t>
    </r>
    <r>
      <rPr>
        <vertAlign val="subscript"/>
        <sz val="14"/>
        <color rgb="FF000000"/>
        <rFont val="Calibri"/>
        <family val="2"/>
        <scheme val="minor"/>
      </rPr>
      <t>4 </t>
    </r>
    <r>
      <rPr>
        <sz val="14"/>
        <color rgb="FF000000"/>
        <rFont val="Calibri"/>
        <family val="2"/>
        <scheme val="minor"/>
      </rPr>
      <t> </t>
    </r>
  </si>
  <si>
    <t>Methyl bromide  </t>
  </si>
  <si>
    <r>
      <t>CH</t>
    </r>
    <r>
      <rPr>
        <vertAlign val="subscript"/>
        <sz val="14"/>
        <color rgb="FF000000"/>
        <rFont val="Calibri"/>
        <family val="2"/>
        <scheme val="minor"/>
      </rPr>
      <t>3</t>
    </r>
    <r>
      <rPr>
        <sz val="14"/>
        <color rgb="FF000000"/>
        <rFont val="Calibri"/>
        <family val="2"/>
        <scheme val="minor"/>
      </rPr>
      <t>Br  </t>
    </r>
  </si>
  <si>
    <t>Methyl chloroform  </t>
  </si>
  <si>
    <r>
      <t>CH</t>
    </r>
    <r>
      <rPr>
        <vertAlign val="subscript"/>
        <sz val="14"/>
        <color rgb="FF000000"/>
        <rFont val="Calibri"/>
        <family val="2"/>
        <scheme val="minor"/>
      </rPr>
      <t>3</t>
    </r>
    <r>
      <rPr>
        <sz val="14"/>
        <color rgb="FF000000"/>
        <rFont val="Calibri"/>
        <family val="2"/>
        <scheme val="minor"/>
      </rPr>
      <t>CCl</t>
    </r>
    <r>
      <rPr>
        <vertAlign val="subscript"/>
        <sz val="14"/>
        <color rgb="FF000000"/>
        <rFont val="Calibri"/>
        <family val="2"/>
        <scheme val="minor"/>
      </rPr>
      <t>3 </t>
    </r>
    <r>
      <rPr>
        <sz val="14"/>
        <color rgb="FF000000"/>
        <rFont val="Calibri"/>
        <family val="2"/>
        <scheme val="minor"/>
      </rPr>
      <t> </t>
    </r>
  </si>
  <si>
    <t>HCFC-22  (R-22)</t>
  </si>
  <si>
    <r>
      <t>CHClF</t>
    </r>
    <r>
      <rPr>
        <vertAlign val="subscript"/>
        <sz val="14"/>
        <color rgb="FF000000"/>
        <rFont val="Calibri"/>
        <family val="2"/>
        <scheme val="minor"/>
      </rPr>
      <t>2 </t>
    </r>
    <r>
      <rPr>
        <sz val="14"/>
        <color rgb="FF000000"/>
        <rFont val="Calibri"/>
        <family val="2"/>
        <scheme val="minor"/>
      </rPr>
      <t> </t>
    </r>
  </si>
  <si>
    <t>HCFC-123  (R-123)</t>
  </si>
  <si>
    <r>
      <t>CHCl</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3 </t>
    </r>
    <r>
      <rPr>
        <sz val="14"/>
        <color rgb="FF000000"/>
        <rFont val="Calibri"/>
        <family val="2"/>
        <scheme val="minor"/>
      </rPr>
      <t> </t>
    </r>
  </si>
  <si>
    <t>HCFC-124  (R-124)</t>
  </si>
  <si>
    <r>
      <t>CHClFCF</t>
    </r>
    <r>
      <rPr>
        <vertAlign val="subscript"/>
        <sz val="14"/>
        <color rgb="FF000000"/>
        <rFont val="Calibri"/>
        <family val="2"/>
        <scheme val="minor"/>
      </rPr>
      <t>3 </t>
    </r>
    <r>
      <rPr>
        <sz val="14"/>
        <color rgb="FF000000"/>
        <rFont val="Calibri"/>
        <family val="2"/>
        <scheme val="minor"/>
      </rPr>
      <t> </t>
    </r>
  </si>
  <si>
    <t>HCFC-141b  (R-141b)</t>
  </si>
  <si>
    <r>
      <t>CH</t>
    </r>
    <r>
      <rPr>
        <vertAlign val="subscript"/>
        <sz val="14"/>
        <color rgb="FF000000"/>
        <rFont val="Calibri"/>
        <family val="2"/>
        <scheme val="minor"/>
      </rPr>
      <t>3</t>
    </r>
    <r>
      <rPr>
        <sz val="14"/>
        <color rgb="FF000000"/>
        <rFont val="Calibri"/>
        <family val="2"/>
        <scheme val="minor"/>
      </rPr>
      <t>CCl</t>
    </r>
    <r>
      <rPr>
        <vertAlign val="subscript"/>
        <sz val="14"/>
        <color rgb="FF000000"/>
        <rFont val="Calibri"/>
        <family val="2"/>
        <scheme val="minor"/>
      </rPr>
      <t>2</t>
    </r>
    <r>
      <rPr>
        <sz val="14"/>
        <color rgb="FF000000"/>
        <rFont val="Calibri"/>
        <family val="2"/>
        <scheme val="minor"/>
      </rPr>
      <t>F  </t>
    </r>
  </si>
  <si>
    <t>HCFC-142b  (R-142b)</t>
  </si>
  <si>
    <r>
      <t>CH</t>
    </r>
    <r>
      <rPr>
        <vertAlign val="subscript"/>
        <sz val="14"/>
        <color rgb="FF000000"/>
        <rFont val="Calibri"/>
        <family val="2"/>
        <scheme val="minor"/>
      </rPr>
      <t>3</t>
    </r>
    <r>
      <rPr>
        <sz val="14"/>
        <color rgb="FF000000"/>
        <rFont val="Calibri"/>
        <family val="2"/>
        <scheme val="minor"/>
      </rPr>
      <t>CClF</t>
    </r>
    <r>
      <rPr>
        <vertAlign val="subscript"/>
        <sz val="14"/>
        <color rgb="FF000000"/>
        <rFont val="Calibri"/>
        <family val="2"/>
        <scheme val="minor"/>
      </rPr>
      <t>2 </t>
    </r>
    <r>
      <rPr>
        <sz val="14"/>
        <color rgb="FF000000"/>
        <rFont val="Calibri"/>
        <family val="2"/>
        <scheme val="minor"/>
      </rPr>
      <t> </t>
    </r>
  </si>
  <si>
    <t>HCFC-225ca  (R-225ca)</t>
  </si>
  <si>
    <r>
      <t>CHCl</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2</t>
    </r>
    <r>
      <rPr>
        <sz val="14"/>
        <color rgb="FF000000"/>
        <rFont val="Calibri"/>
        <family val="2"/>
        <scheme val="minor"/>
      </rPr>
      <t>CF</t>
    </r>
    <r>
      <rPr>
        <vertAlign val="subscript"/>
        <sz val="14"/>
        <color rgb="FF000000"/>
        <rFont val="Calibri"/>
        <family val="2"/>
        <scheme val="minor"/>
      </rPr>
      <t>3 </t>
    </r>
    <r>
      <rPr>
        <sz val="14"/>
        <color rgb="FF000000"/>
        <rFont val="Calibri"/>
        <family val="2"/>
        <scheme val="minor"/>
      </rPr>
      <t> </t>
    </r>
  </si>
  <si>
    <t>HCFC-225cb  (R- 225cb)</t>
  </si>
  <si>
    <r>
      <t>CHClFCF</t>
    </r>
    <r>
      <rPr>
        <vertAlign val="subscript"/>
        <sz val="14"/>
        <color rgb="FF000000"/>
        <rFont val="Calibri"/>
        <family val="2"/>
        <scheme val="minor"/>
      </rPr>
      <t>2</t>
    </r>
    <r>
      <rPr>
        <sz val="14"/>
        <color rgb="FF000000"/>
        <rFont val="Calibri"/>
        <family val="2"/>
        <scheme val="minor"/>
      </rPr>
      <t>CClF</t>
    </r>
    <r>
      <rPr>
        <vertAlign val="subscript"/>
        <sz val="14"/>
        <color rgb="FF000000"/>
        <rFont val="Calibri"/>
        <family val="2"/>
        <scheme val="minor"/>
      </rPr>
      <t>2 </t>
    </r>
    <r>
      <rPr>
        <sz val="14"/>
        <color rgb="FF000000"/>
        <rFont val="Calibri"/>
        <family val="2"/>
        <scheme val="minor"/>
      </rPr>
      <t> </t>
    </r>
  </si>
  <si>
    <t>Hydrofluorocarbons </t>
  </si>
  <si>
    <t>HFC-23</t>
  </si>
  <si>
    <t>CHF3</t>
  </si>
  <si>
    <t>HFC-32</t>
  </si>
  <si>
    <t>CH2F2</t>
  </si>
  <si>
    <t>HFC-41</t>
  </si>
  <si>
    <t>CH3F</t>
  </si>
  <si>
    <t>HFC-43-10mee</t>
  </si>
  <si>
    <t>C5H2F10</t>
  </si>
  <si>
    <t>HFC-125</t>
  </si>
  <si>
    <t>C2HF5</t>
  </si>
  <si>
    <t>HFC-134</t>
  </si>
  <si>
    <t>C2H2F4 (CHF2CHF2)</t>
  </si>
  <si>
    <t>HFC-134a</t>
  </si>
  <si>
    <t>C2H2F4 (CH2FCF3)</t>
  </si>
  <si>
    <t>HFC-143</t>
  </si>
  <si>
    <t>C2H3F3 (CHF2CH2F)</t>
  </si>
  <si>
    <t>HFC-143a</t>
  </si>
  <si>
    <t>C2H3F3 (CF3CH3)</t>
  </si>
  <si>
    <t>HFC-152a</t>
  </si>
  <si>
    <t>C2H4F2 (CH3CHF2)</t>
  </si>
  <si>
    <t>HFC-227ea</t>
  </si>
  <si>
    <t>C3HF7</t>
  </si>
  <si>
    <t>HFC-236fa</t>
  </si>
  <si>
    <t>C3H2F6</t>
  </si>
  <si>
    <t>HFC-245ca</t>
  </si>
  <si>
    <t>C3H3F5</t>
  </si>
  <si>
    <t>HFC-245fa</t>
  </si>
  <si>
    <t>CHF2CH2CF3</t>
  </si>
  <si>
    <t>HFC-365mfc</t>
  </si>
  <si>
    <t>CH3CF2CH2CF3</t>
  </si>
  <si>
    <t>Perfluorinated compounds  </t>
  </si>
  <si>
    <t>Perfluoromethane 
(tetrafluoromethane)</t>
  </si>
  <si>
    <t>CF4</t>
  </si>
  <si>
    <t>Perfluoroethane 
(hexafluoroethane)</t>
  </si>
  <si>
    <t>C2F6</t>
  </si>
  <si>
    <t>Perfluoropropane</t>
  </si>
  <si>
    <t>C3F8</t>
  </si>
  <si>
    <t>Perfluorobutane</t>
  </si>
  <si>
    <t>C4F10</t>
  </si>
  <si>
    <t>Perfluorocyclobutane</t>
  </si>
  <si>
    <t>c-C4F8</t>
  </si>
  <si>
    <t>Perfluoropentane</t>
  </si>
  <si>
    <t>C5F12</t>
  </si>
  <si>
    <t>Perfluorohexane</t>
  </si>
  <si>
    <t>C6F14</t>
  </si>
  <si>
    <t>Enter total hectares of vines burned.
Enter average number of vines per hectare.</t>
  </si>
  <si>
    <t>Short Term Carbon</t>
  </si>
  <si>
    <t>Only CH4 &amp; N20 
(metric tons)</t>
  </si>
  <si>
    <t>Biomass Emissions</t>
  </si>
  <si>
    <t>Biomass Burned by Acres of Vines</t>
  </si>
  <si>
    <t>Area of Vines Burned
(hectares)</t>
  </si>
  <si>
    <t>Vines per Hectare</t>
  </si>
  <si>
    <t>Area of Vines Burned
(acres)</t>
  </si>
  <si>
    <t>Vines per Acre</t>
  </si>
  <si>
    <t>Average Trunk Weight per Vine 
(lbs)</t>
  </si>
  <si>
    <t>Biomass 
(metric ton)</t>
  </si>
  <si>
    <t>Total CH4 CO2e 
(metric tons)</t>
  </si>
  <si>
    <t>Total N2O CO2e 
(metric tons)</t>
  </si>
  <si>
    <t>CO2
(metric tons)</t>
  </si>
  <si>
    <t>CH4 and N2O only (metric tons CO2e)</t>
  </si>
  <si>
    <t>Based on average weight (7lb/3.182kg of vine trunk from Jackson Family Wines.</t>
  </si>
  <si>
    <t>Biomass Burned by Tons</t>
  </si>
  <si>
    <t>Biomass
(kg)</t>
  </si>
  <si>
    <t>Biomass
(metric tons)</t>
  </si>
  <si>
    <t>Land Conversion Emissions</t>
  </si>
  <si>
    <t>Enter total nuber of hectares converted from forest or meadow to vineyards.</t>
  </si>
  <si>
    <t>Original Land Use</t>
  </si>
  <si>
    <t xml:space="preserve">Converted to </t>
  </si>
  <si>
    <t>Total CO2 Equivalents 
(metric tonne)</t>
  </si>
  <si>
    <t>Meadow</t>
  </si>
  <si>
    <t>Vineyard</t>
  </si>
  <si>
    <t>no conversion has taken place</t>
  </si>
  <si>
    <t>Forest</t>
  </si>
  <si>
    <t>Electricity Location Based Emissions</t>
  </si>
  <si>
    <t xml:space="preserve">Enter total kilowatt-hours of electricity used in all operations.
Use most recent year possible for baseline assesments. </t>
  </si>
  <si>
    <r>
      <rPr>
        <b/>
        <i/>
        <u/>
        <sz val="14"/>
        <color rgb="FFFF0000"/>
        <rFont val="Calibri"/>
        <family val="2"/>
        <scheme val="minor"/>
      </rPr>
      <t>Note</t>
    </r>
    <r>
      <rPr>
        <b/>
        <i/>
        <sz val="14"/>
        <color rgb="FFFF0000"/>
        <rFont val="Calibri"/>
        <family val="2"/>
        <scheme val="minor"/>
      </rPr>
      <t xml:space="preserve">: Electricity purchase values entered in Column B should be "gross" values and </t>
    </r>
    <r>
      <rPr>
        <b/>
        <i/>
        <u/>
        <sz val="14"/>
        <color rgb="FFFF0000"/>
        <rFont val="Calibri"/>
        <family val="2"/>
        <scheme val="minor"/>
      </rPr>
      <t>NOT</t>
    </r>
    <r>
      <rPr>
        <b/>
        <i/>
        <sz val="14"/>
        <color rgb="FFFF0000"/>
        <rFont val="Calibri"/>
        <family val="2"/>
        <scheme val="minor"/>
      </rPr>
      <t xml:space="preserve"> be "net" of any renewable energy returned to the grid.</t>
    </r>
  </si>
  <si>
    <t>Total Location Based Emissions</t>
  </si>
  <si>
    <t>Total Location Based T&amp;D Losses</t>
  </si>
  <si>
    <t>Total Market Based Emissions</t>
  </si>
  <si>
    <t>Total Market Based T&amp;D Losses</t>
  </si>
  <si>
    <r>
      <t xml:space="preserve">Please complete </t>
    </r>
    <r>
      <rPr>
        <b/>
        <u/>
        <sz val="16"/>
        <color rgb="FF006699"/>
        <rFont val="Calibri"/>
        <family val="2"/>
        <scheme val="minor"/>
      </rPr>
      <t>BOTH</t>
    </r>
    <r>
      <rPr>
        <b/>
        <sz val="16"/>
        <color rgb="FF006699"/>
        <rFont val="Calibri"/>
        <family val="2"/>
        <scheme val="minor"/>
      </rPr>
      <t xml:space="preserve"> the Location Based and Market Based tables below.</t>
    </r>
  </si>
  <si>
    <t>Renewable Energy Percentage Value</t>
  </si>
  <si>
    <r>
      <t xml:space="preserve">Location Based GHG Emissions 
</t>
    </r>
    <r>
      <rPr>
        <b/>
        <sz val="12"/>
        <color theme="0"/>
        <rFont val="Calibri"/>
        <family val="2"/>
        <scheme val="minor"/>
      </rPr>
      <t>(do not include onsite renewable energy generated and used)</t>
    </r>
  </si>
  <si>
    <t xml:space="preserve">Location-Based Emissions Rates </t>
  </si>
  <si>
    <t>T&amp;D Loss Emissions</t>
  </si>
  <si>
    <t>Purchase Year</t>
  </si>
  <si>
    <t>Total Purchased Energy
(kWh)</t>
  </si>
  <si>
    <t>Total CO2 Equivalents 
(metric ton)</t>
  </si>
  <si>
    <t>Chile</t>
  </si>
  <si>
    <t>Peru</t>
  </si>
  <si>
    <t>Market Based GHG Emissions</t>
  </si>
  <si>
    <t xml:space="preserve">Market-Based Emissions Rates </t>
  </si>
  <si>
    <t xml:space="preserve">   </t>
  </si>
  <si>
    <r>
      <t xml:space="preserve">Electricity Source/Location
</t>
    </r>
    <r>
      <rPr>
        <sz val="16"/>
        <color theme="1"/>
        <rFont val="Calibri"/>
        <family val="2"/>
        <scheme val="minor"/>
      </rPr>
      <t>(see eGRID Map for locations)</t>
    </r>
  </si>
  <si>
    <t>Total kwhs Used/Purchased</t>
  </si>
  <si>
    <t>Emission Factor 
(kg CO2-e/kWh)</t>
  </si>
  <si>
    <t>Emission Factor 
(kg CO2-e/kWh; 5%)</t>
  </si>
  <si>
    <t>Direct Access 100% Renewable Energy</t>
  </si>
  <si>
    <t>Renewable Energy Credits</t>
  </si>
  <si>
    <r>
      <t>Onsite Renewable Energy</t>
    </r>
    <r>
      <rPr>
        <b/>
        <sz val="12"/>
        <color rgb="FFFF0000"/>
        <rFont val="Calibri"/>
        <family val="2"/>
        <scheme val="minor"/>
      </rPr>
      <t>*</t>
    </r>
  </si>
  <si>
    <t>Residual Mix Factor</t>
  </si>
  <si>
    <r>
      <t xml:space="preserve">* Do </t>
    </r>
    <r>
      <rPr>
        <b/>
        <i/>
        <u/>
        <sz val="12"/>
        <color rgb="FFFF0000"/>
        <rFont val="Calibri"/>
        <family val="2"/>
        <scheme val="minor"/>
      </rPr>
      <t>NOT</t>
    </r>
    <r>
      <rPr>
        <i/>
        <sz val="12"/>
        <color rgb="FFFF0000"/>
        <rFont val="Calibri"/>
        <family val="2"/>
        <scheme val="minor"/>
      </rPr>
      <t xml:space="preserve"> offset onsite renewables generated against grid purchases.</t>
    </r>
  </si>
  <si>
    <t>Step 1</t>
  </si>
  <si>
    <t>Gross renewable energy generated onsite (kWh)</t>
  </si>
  <si>
    <t>Pulled from the Market-Based Table Above</t>
  </si>
  <si>
    <t>Total energy used at the winery</t>
  </si>
  <si>
    <t>Electricity Purchased (kWh)</t>
  </si>
  <si>
    <t>Total Electricity Purchased 
(from Market-Based table above)</t>
  </si>
  <si>
    <t>Total Electricity Purchased 
(from Location-Based table above)</t>
  </si>
  <si>
    <t>Total Electricity Purchased</t>
  </si>
  <si>
    <t>If Cell B62 reads "FALSE", please ensure that the total "Energy Purchased" entered in the Market-based table equals the total entered in the Location-based table.</t>
  </si>
  <si>
    <t>Heating Value (MMBtu)</t>
  </si>
  <si>
    <t>1 MMBtu = 293.07 kWh</t>
  </si>
  <si>
    <t>Stationary fuel used</t>
  </si>
  <si>
    <t>kWh of stationary fuel</t>
  </si>
  <si>
    <t>Step 2</t>
  </si>
  <si>
    <t>Number from step 1</t>
  </si>
  <si>
    <t>Gross Renewable energy generated onsite (kWh)</t>
  </si>
  <si>
    <t>Electricity purchased (kWh)</t>
  </si>
  <si>
    <t>Gross renewable energy minus electricity purchased (kWh)</t>
  </si>
  <si>
    <t xml:space="preserve">If gross renewable energy exceeds electricity purchased, electricity purchased moves to step 2. </t>
  </si>
  <si>
    <t>If gross renewable energy is less than electricity purchased, gross renewable energy moves to step 2.</t>
  </si>
  <si>
    <t>Packaging Emissions</t>
  </si>
  <si>
    <t>Enter packaging information for products sold during inventory year.</t>
  </si>
  <si>
    <t>Calculated</t>
  </si>
  <si>
    <t>Wax/wax seals</t>
  </si>
  <si>
    <t>Look Sheet: Botellas 2023</t>
  </si>
  <si>
    <t>Total Cases Sold</t>
  </si>
  <si>
    <t>Average Weight of 12 Empty Bottles 
(kg)</t>
  </si>
  <si>
    <t>Total Weight
(kg)</t>
  </si>
  <si>
    <t>Total Weight
(short tonne)</t>
  </si>
  <si>
    <t>% Recycled Material 
(average)</t>
  </si>
  <si>
    <t>% Virgin Material 
(average)</t>
  </si>
  <si>
    <t>CO2e 
(metric tons)</t>
  </si>
  <si>
    <t>tCO2e (based on bottle amount)</t>
  </si>
  <si>
    <t>Other Packaging Materials</t>
  </si>
  <si>
    <t>Packaging Item</t>
  </si>
  <si>
    <t>Weight per 1 unit
(gram)</t>
  </si>
  <si>
    <t>Total Units Used</t>
  </si>
  <si>
    <t>Total Weight
(gram)</t>
  </si>
  <si>
    <t>Total Weight 
(kg)</t>
  </si>
  <si>
    <t>Total Weight (metric tons)</t>
  </si>
  <si>
    <t>Capsules (poly)</t>
  </si>
  <si>
    <t>Capsules (tin)</t>
  </si>
  <si>
    <t>Corks (natural)</t>
  </si>
  <si>
    <t>Corks (agglomerate)</t>
  </si>
  <si>
    <t>Corks (synthetic)</t>
  </si>
  <si>
    <t>Knock Down Box (6 pack)</t>
  </si>
  <si>
    <t>Knock Down Box (12 pack)</t>
  </si>
  <si>
    <t>Partitions (6 pack)</t>
  </si>
  <si>
    <t>Partitions (12 pack)</t>
  </si>
  <si>
    <t>Wax/wax seals (paraffin)</t>
  </si>
  <si>
    <t>Note: wine bag in box above accounts for all packaging materials (bag, closure, and cardboard box)</t>
  </si>
  <si>
    <r>
      <t xml:space="preserve">** For "wine bag in box," use the line in the table above if you do not have masses of cardboard, aluminum, and plastic bags. If you </t>
    </r>
    <r>
      <rPr>
        <b/>
        <i/>
        <sz val="16"/>
        <color rgb="FFFF0000"/>
        <rFont val="Calibri"/>
        <family val="2"/>
        <scheme val="minor"/>
      </rPr>
      <t>do</t>
    </r>
    <r>
      <rPr>
        <b/>
        <sz val="16"/>
        <color rgb="FFFF0000"/>
        <rFont val="Calibri"/>
        <family val="2"/>
        <scheme val="minor"/>
      </rPr>
      <t xml:space="preserve"> have this data on hand, use the below table methodology for a more accurate calculation.</t>
    </r>
  </si>
  <si>
    <t>Do one or the other, not both, to avoid double counting</t>
  </si>
  <si>
    <t>Mass (kg)</t>
  </si>
  <si>
    <r>
      <t>Total CO</t>
    </r>
    <r>
      <rPr>
        <b/>
        <vertAlign val="subscript"/>
        <sz val="12"/>
        <rFont val="Calibri"/>
        <family val="2"/>
        <scheme val="minor"/>
      </rPr>
      <t>2</t>
    </r>
    <r>
      <rPr>
        <b/>
        <sz val="12"/>
        <rFont val="Calibri"/>
        <family val="2"/>
        <scheme val="minor"/>
      </rPr>
      <t>e
(metric tons)</t>
    </r>
  </si>
  <si>
    <t>Plastic</t>
  </si>
  <si>
    <t>Cardboard</t>
  </si>
  <si>
    <t>Aluminum</t>
  </si>
  <si>
    <t>Weight per 1 unit
(oz)</t>
  </si>
  <si>
    <t>Weight per 1 unit
(g)</t>
  </si>
  <si>
    <t>Explanation</t>
  </si>
  <si>
    <t>Corks</t>
  </si>
  <si>
    <t>11 lbs per 1,000 corks</t>
  </si>
  <si>
    <t>Capsules (Poly)</t>
  </si>
  <si>
    <t>32 ounces per 1,000 capsules</t>
  </si>
  <si>
    <t>Capsules (Tin)</t>
  </si>
  <si>
    <t>240 ounces per 1,000 capsules</t>
  </si>
  <si>
    <t>Screw caps</t>
  </si>
  <si>
    <t>10 lbs per 1,000 screwcaps</t>
  </si>
  <si>
    <t>600lbs per 1,000 boxes</t>
  </si>
  <si>
    <t>800lbs per 1,000 boxes</t>
  </si>
  <si>
    <t>250 lbs per 1,000 partitions</t>
  </si>
  <si>
    <t>450 lbs per 1,000 partitions</t>
  </si>
  <si>
    <t>Pads</t>
  </si>
  <si>
    <t xml:space="preserve">86 lbs per 1,000 </t>
  </si>
  <si>
    <t xml:space="preserve">Tissue Paper </t>
  </si>
  <si>
    <t>14.2 lbs per ream</t>
  </si>
  <si>
    <t>1lb each</t>
  </si>
  <si>
    <t xml:space="preserve">Labels </t>
  </si>
  <si>
    <t>2.188 lbs per 1,000</t>
  </si>
  <si>
    <t>58lbs each</t>
  </si>
  <si>
    <t>Wood Box</t>
  </si>
  <si>
    <t>6.2 lbs each on average 
(range of 5.8 to 7.5 lbs)</t>
  </si>
  <si>
    <t>Average of bottle weights sent by JFW</t>
  </si>
  <si>
    <t>Weight Estimates based on packaging materials at Jackson Family Wines</t>
  </si>
  <si>
    <t>Purchased Wine Products</t>
  </si>
  <si>
    <t xml:space="preserve">Other emission sources must be completed before calculations will register for these emissions (stationary, mobile, vineyard emissions, electricity and onsite waste must be completed)
Input total tons of grapes purchased and volume of bulk wine purchased.
</t>
  </si>
  <si>
    <t>Purchased Grapes 
(metric tons)</t>
  </si>
  <si>
    <t>Purchased Wine 
(litres)</t>
  </si>
  <si>
    <t>Crop Protection Products</t>
  </si>
  <si>
    <t>Grape Vine Trellising</t>
  </si>
  <si>
    <t>Biomass Treatment</t>
  </si>
  <si>
    <t>Purchased Municipal Water</t>
  </si>
  <si>
    <t>Winemaking Gases</t>
  </si>
  <si>
    <t>Winemaking Products</t>
  </si>
  <si>
    <t>Water Purification Products</t>
  </si>
  <si>
    <t>Barrel Transportation Emissions</t>
  </si>
  <si>
    <t>Barrel Embedded Emissions</t>
  </si>
  <si>
    <t>Purchased Wine Bottles by Third Party</t>
  </si>
  <si>
    <t>Stationary Fuel for Bottling by Third Party</t>
  </si>
  <si>
    <t>Own Land Farmed/Harvested by Third Party</t>
  </si>
  <si>
    <t>Optional: OPEX Spending</t>
  </si>
  <si>
    <t>Optional: CAPEX Spending</t>
  </si>
  <si>
    <t>Grapes Delivered
(metric tonne)</t>
  </si>
  <si>
    <t>Grapes Delivered
(short ton)</t>
  </si>
  <si>
    <t>Emission Factor 
(CO2mte/ton)</t>
  </si>
  <si>
    <t>Wine Purchased
(litre)</t>
  </si>
  <si>
    <t>Wine Purchased
(metric tonne)</t>
  </si>
  <si>
    <t>Emission Factor 
(tons CO2e/ton)</t>
  </si>
  <si>
    <t>Custom Emission Factors for Purchased Grapes and Purchased Wine (based on company's own internal emissions)</t>
  </si>
  <si>
    <t>Emissions for Internally Grown Grapes 
(CO2mte)</t>
  </si>
  <si>
    <t>Diesel Usage + Vineyard Emissions + 15% of total Electricity (based on JFW vineyard electricity vs total electricity)</t>
  </si>
  <si>
    <t>Internal Tons Harvested 
(short tons)</t>
  </si>
  <si>
    <t>Vineyard Biomass Photosynthesis Tab must be completed before this will populate.</t>
  </si>
  <si>
    <t>Internal Emission Factor per Ton of Grapes 
(Mte/short ton)</t>
  </si>
  <si>
    <t>Emissions for Internally Fermenting Wine 
(CO2mte)</t>
  </si>
  <si>
    <t>Stationary Emissions + Onsite Waste + 68% of Total Electricity (based on JFW production electricity vs total electricity)</t>
  </si>
  <si>
    <t>Wine Fermented
(gallon)</t>
  </si>
  <si>
    <t>Internal Litres Fermented
(metric tonne)</t>
  </si>
  <si>
    <t>1 litre = .001 tonne (source: http://convert-to.com/conversion/water-weight-volume/convert-metric-tonne-t-water-weight-to-liter-l-of-water-volume.html)</t>
  </si>
  <si>
    <t>Emission Factor 
(Mte/Ton)</t>
  </si>
  <si>
    <t>Crop Protection Products (Phytosanitary)</t>
  </si>
  <si>
    <t>Input emission factor from Table 1 in the same row as active ingredient type</t>
  </si>
  <si>
    <t>Product name</t>
  </si>
  <si>
    <t>Weight of product (kg)</t>
  </si>
  <si>
    <t>Active ingredient</t>
  </si>
  <si>
    <t>% Active Ingredient</t>
  </si>
  <si>
    <r>
      <t>Emission Factor 
(CO</t>
    </r>
    <r>
      <rPr>
        <b/>
        <vertAlign val="subscript"/>
        <sz val="12"/>
        <color theme="1"/>
        <rFont val="Calibri"/>
        <family val="2"/>
        <scheme val="minor"/>
      </rPr>
      <t>2</t>
    </r>
    <r>
      <rPr>
        <b/>
        <sz val="12"/>
        <color theme="1"/>
        <rFont val="Calibri"/>
        <family val="2"/>
        <scheme val="minor"/>
      </rPr>
      <t>-Eq kg/kg) (from table to right)</t>
    </r>
  </si>
  <si>
    <t>Total CO2e
(metric tons)</t>
  </si>
  <si>
    <t>Sulfur</t>
  </si>
  <si>
    <t>Table 1: Emission factors for crop protection materials</t>
  </si>
  <si>
    <t>Copper</t>
  </si>
  <si>
    <t>Material</t>
  </si>
  <si>
    <r>
      <t>Emission Factor 
(CO</t>
    </r>
    <r>
      <rPr>
        <b/>
        <vertAlign val="subscript"/>
        <sz val="12"/>
        <color theme="1"/>
        <rFont val="Calibri"/>
        <family val="2"/>
        <scheme val="minor"/>
      </rPr>
      <t>2</t>
    </r>
    <r>
      <rPr>
        <b/>
        <sz val="12"/>
        <color theme="1"/>
        <rFont val="Calibri"/>
        <family val="2"/>
        <scheme val="minor"/>
      </rPr>
      <t>-Eq kg/kg)</t>
    </r>
  </si>
  <si>
    <t>Mancozeb</t>
  </si>
  <si>
    <t>EcoInvent 3.10 GLO</t>
  </si>
  <si>
    <t>Folpet</t>
  </si>
  <si>
    <t>Fosetyl</t>
  </si>
  <si>
    <t>Potassium</t>
  </si>
  <si>
    <t>Boron</t>
  </si>
  <si>
    <t>Unspecified Pesticide</t>
  </si>
  <si>
    <t>Glyphosate</t>
  </si>
  <si>
    <t>Source: EPA https://view.officeapps.live.com/op/view.aspx?src=https%3A%2F%2Fgaftp.epa.gov%2Fair%2Fnei%2F2017%2Fdoc%2Fsupporting_data%2Fnonpoint%2FAgricultural%2520Pesticides%2520NEMO%25202017%2520FINAL_4-2%2520update.docx&amp;wdOrigin=BROWSELINK</t>
  </si>
  <si>
    <t>Grape Vine Trellising (new development only)</t>
  </si>
  <si>
    <t>Amount Purchased (kg)</t>
  </si>
  <si>
    <t>Table 2: Emission factors for trellising</t>
  </si>
  <si>
    <t>Steel</t>
  </si>
  <si>
    <t>ECOINVENT 3.9 Emissions Factor (kgCO2e/kg material)</t>
  </si>
  <si>
    <t>Wood</t>
  </si>
  <si>
    <t>Staples</t>
  </si>
  <si>
    <t>Use wood and wood treatment for all wood materials</t>
  </si>
  <si>
    <t>Wire</t>
  </si>
  <si>
    <t>Wood Treatment</t>
  </si>
  <si>
    <t>Concrete</t>
  </si>
  <si>
    <t>Granite</t>
  </si>
  <si>
    <t>For the purposes of this calculator, biomass treatment means the natural air drying of raw biomass (e.g., vine shoots) for use as fuel (e.g., dried wood, dried wood pellets) in a biomass boiler. Dry biomass refers to the biomass product used in the biomass boiler.</t>
  </si>
  <si>
    <t>Only complete data in one of these columns. Use the column furthest to the left as possible.</t>
  </si>
  <si>
    <t>Biomass Type</t>
  </si>
  <si>
    <r>
      <t>Volume Dry Biomass (m</t>
    </r>
    <r>
      <rPr>
        <vertAlign val="superscript"/>
        <sz val="12"/>
        <rFont val="Calibri"/>
        <family val="2"/>
        <scheme val="minor"/>
      </rPr>
      <t>3</t>
    </r>
    <r>
      <rPr>
        <sz val="12"/>
        <rFont val="Calibri"/>
        <family val="2"/>
        <scheme val="minor"/>
      </rPr>
      <t>)</t>
    </r>
  </si>
  <si>
    <r>
      <t>Volume Raw Biomass (m</t>
    </r>
    <r>
      <rPr>
        <vertAlign val="superscript"/>
        <sz val="12"/>
        <rFont val="Calibri"/>
        <family val="2"/>
        <scheme val="minor"/>
      </rPr>
      <t>3</t>
    </r>
    <r>
      <rPr>
        <sz val="12"/>
        <rFont val="Calibri"/>
        <family val="2"/>
        <scheme val="minor"/>
      </rPr>
      <t>)</t>
    </r>
  </si>
  <si>
    <t>Weight Dry Biomass (kg)</t>
  </si>
  <si>
    <t>Weight Raw Biomass (kg)</t>
  </si>
  <si>
    <t>Water purchased (litres)</t>
  </si>
  <si>
    <t>Water purchased (kg) (Density of water 1 kg/L)</t>
  </si>
  <si>
    <t>Gas name</t>
  </si>
  <si>
    <t>Volume of gas purchased (m3)</t>
  </si>
  <si>
    <t>Gaseous relative density (kg/m3)</t>
  </si>
  <si>
    <t>Gas purchased (metric tons)</t>
  </si>
  <si>
    <t>Oxygen</t>
  </si>
  <si>
    <t>Aligal 3</t>
  </si>
  <si>
    <t>Acetylene (C2H2)</t>
  </si>
  <si>
    <t>Argon</t>
  </si>
  <si>
    <t>Hydrogen</t>
  </si>
  <si>
    <t>Sulfur dioxide</t>
  </si>
  <si>
    <t>Helium</t>
  </si>
  <si>
    <t>Nitrogen</t>
  </si>
  <si>
    <t>Ammonia</t>
  </si>
  <si>
    <t>Synthetic air</t>
  </si>
  <si>
    <t>Product</t>
  </si>
  <si>
    <t>Purchased Amount (metric tons)</t>
  </si>
  <si>
    <t>Yeast</t>
  </si>
  <si>
    <t>Bentonite</t>
  </si>
  <si>
    <t xml:space="preserve">Misc. Additives </t>
  </si>
  <si>
    <t xml:space="preserve">Source Data from: </t>
  </si>
  <si>
    <t>Name of Misc. Additive</t>
  </si>
  <si>
    <t>Additive Purchased
(metric tons)</t>
  </si>
  <si>
    <t>Emission Factor 
(CO2 metric tons/metric tons)</t>
  </si>
  <si>
    <t>Name</t>
  </si>
  <si>
    <t>Amount Purchased (litre)</t>
  </si>
  <si>
    <t>Density (kg/L)</t>
  </si>
  <si>
    <t>Amount purchased (kg)</t>
  </si>
  <si>
    <t>Formic Acid</t>
  </si>
  <si>
    <t>Defoamer (Silicone)</t>
  </si>
  <si>
    <t>Ammonium Chloride</t>
  </si>
  <si>
    <t>Diammonium Phosphate</t>
  </si>
  <si>
    <t>Trisodium Phosphate</t>
  </si>
  <si>
    <t>Aluminum Polychloride</t>
  </si>
  <si>
    <t>Lithium hydroxide (LiOH)</t>
  </si>
  <si>
    <t>Caustic Potash (Potassium Hydroxide)</t>
  </si>
  <si>
    <t>Caustic Soda (Sodium Hydroxide)</t>
  </si>
  <si>
    <t xml:space="preserve">Hydrochloric Acid </t>
  </si>
  <si>
    <t>Peroxide</t>
  </si>
  <si>
    <t>Sodium Hypochlorite</t>
  </si>
  <si>
    <t>Chlorine Dioxide</t>
  </si>
  <si>
    <t>Sodium Chloride (Salt)</t>
  </si>
  <si>
    <t>Urea</t>
  </si>
  <si>
    <t>Lithium hydroxide</t>
  </si>
  <si>
    <t>Purchased Wine Barrels</t>
  </si>
  <si>
    <t>100% Truck Shipment</t>
  </si>
  <si>
    <t>Shipping Location</t>
  </si>
  <si>
    <t>Total Barrels Purchased</t>
  </si>
  <si>
    <t>Average Distance Traveled 
(km)</t>
  </si>
  <si>
    <t>Avg Barrel  Weight 
(kg)</t>
  </si>
  <si>
    <t>Total Weight 
(metric ton)</t>
  </si>
  <si>
    <t>Total
(tonne.km)</t>
  </si>
  <si>
    <t>Total CO2-e 
(mte)</t>
  </si>
  <si>
    <t>100% Rail Shipment</t>
  </si>
  <si>
    <t>50% Truck and 50% Rail Shipment</t>
  </si>
  <si>
    <t>75% Truck and 25% Rail Shipment</t>
  </si>
  <si>
    <t>5% Truck and 95% Waterborn Craft - adapted</t>
  </si>
  <si>
    <t xml:space="preserve">Function edited for </t>
  </si>
  <si>
    <t>75% Waterborn Craft and 25% Rail Shipment</t>
  </si>
  <si>
    <t>Assumptions: Large container ship for waterborn craft and long haul heavy truck for Truck shipment</t>
  </si>
  <si>
    <t>Barrel Embedded Carbon Emissions (based on lumber emission factors)</t>
  </si>
  <si>
    <t>Total Weight 
(lbs)</t>
  </si>
  <si>
    <t>Estimated Pounds per Square Foot of Wood
(square feet)</t>
  </si>
  <si>
    <t>Estimated Board Feet of Oak Barrels
(board foot)</t>
  </si>
  <si>
    <t>Estimated Emissions from Hardwood Lumber Emission Factor
(lbs CO2/board foot)</t>
  </si>
  <si>
    <t>Total Estimated CO2 Emissions 
(lbs)</t>
  </si>
  <si>
    <t>Purchased Barrels</t>
  </si>
  <si>
    <t xml:space="preserve">Pounds per Square Foot for Oak </t>
  </si>
  <si>
    <t>Source</t>
  </si>
  <si>
    <t>http://www.hooddistribution.com/product-weights/</t>
  </si>
  <si>
    <r>
      <t xml:space="preserve">For any known product transport of materials to your site, please use the calculation below to estimate upstream transportation emissions from purchased products. </t>
    </r>
    <r>
      <rPr>
        <i/>
        <sz val="14"/>
        <color rgb="FFFF0000"/>
        <rFont val="Calibri"/>
        <family val="2"/>
        <scheme val="minor"/>
      </rPr>
      <t>This includes (but is not limited to): grape transport (grower fruit only), purchased bottling material, purchased wine &amp; distillate transport, and biomass transport, for example.</t>
    </r>
  </si>
  <si>
    <t>Total Weight of Products
(kg)</t>
  </si>
  <si>
    <t>75% Waterborn Craft and 25% Truck Shipment</t>
  </si>
  <si>
    <t>Wineries should complete the below table for bottles purchased by a third party for outsourced bottling  -- or other purchased bottles that are not already accounted for elsewhere (e.g., Packaging Materials)</t>
  </si>
  <si>
    <t>Total Weight 
(tons)</t>
  </si>
  <si>
    <t>Emission Factor Recycled 
(CO2 metric tons / ton)</t>
  </si>
  <si>
    <t>Emission Factor Virgin 
(CO2 metric tons / ton)</t>
  </si>
  <si>
    <t>These emissions account for the third party’s stationary fuel emissions from bottling, including the third party’s upstream fuel emissions.</t>
  </si>
  <si>
    <t xml:space="preserve">*Scope 3 emission factor average of all territories. Territory specific factors available in EF tab. </t>
  </si>
  <si>
    <t>Natural Gas (CLP)</t>
  </si>
  <si>
    <t>Pesos spent
(CLP)</t>
  </si>
  <si>
    <t>Please verify average Amounts in $/L (https://www.globalpetrolprices.com/)</t>
  </si>
  <si>
    <t>Own Land Farmed and/or Harvested by Third Party (mobile fuel use)</t>
  </si>
  <si>
    <t xml:space="preserve">Emissions from own land farmed and/or harvested by a third party account for the third party’s mobile fuel emissions (fuel used in both farming/harvesting and transport to/from the harvesting location), including the third party’s upstream fuel emissions. </t>
  </si>
  <si>
    <t>On Road Diesel (by litres or total pesos spent)</t>
  </si>
  <si>
    <t>Heavy Duty Truck 8.8 mpg / 3.74126 in GHG Protocol Cross Sector emission factors (https://ghgprotocol.org/calculation-tools#cross_sector_tools_id)</t>
  </si>
  <si>
    <t>Diesel for Agriculture (by litres or total pesos spent)</t>
  </si>
  <si>
    <t>Diesel for Agriculture (pesos spent)</t>
  </si>
  <si>
    <t>LPG (by litres or total pesos spent)</t>
  </si>
  <si>
    <t>Optional: OPEX &amp; CAPEX Spending</t>
  </si>
  <si>
    <t xml:space="preserve">While not required for IWCA GHG Inventory calculations, the World Resource Institute guidance for calculating all Scope 3 emissions recommends estimating emissions associated with all spending activity.  </t>
  </si>
  <si>
    <t>This helps measure the emissions associated with business activities not measured in other places that drive economic activity.</t>
  </si>
  <si>
    <t>If you would like to measure these IWCA optional Scope 3 emissions, please follow the following steps.</t>
  </si>
  <si>
    <t>1. Collect OPEX spending for the year you are calculating emissions.</t>
  </si>
  <si>
    <t>2. Review the OPEX records and exclude any data that is already counted in this inventory.  Some examples of emissions that are already counted are bottles, barrels and fuel use.</t>
  </si>
  <si>
    <t>3. For any OPEX spending that has not already been tracked in the GHG calculator go to the website below and use the tool to estimate emissions for OPEX spending.</t>
  </si>
  <si>
    <t>https://quantis-suite.com/Scope-3-Evaluator/</t>
  </si>
  <si>
    <t>4. On the Purchases tab enter dollars spent and the category that best describes the purchase secto.</t>
  </si>
  <si>
    <t>Guidance on Purchased Goods and Services</t>
  </si>
  <si>
    <t>Guidance on Capital Goods</t>
  </si>
  <si>
    <t>OPEX Spending Description</t>
  </si>
  <si>
    <t>Total Purchases (USD $)</t>
  </si>
  <si>
    <t>Calculated Emissions from Scope 3 Evaluator</t>
  </si>
  <si>
    <t>CAPEX Spending Description</t>
  </si>
  <si>
    <r>
      <t>Enter destination of product being shipped.
Enter total weight of product shipped to each destination (</t>
    </r>
    <r>
      <rPr>
        <b/>
        <sz val="12"/>
        <color theme="1"/>
        <rFont val="Calibri"/>
        <family val="2"/>
        <scheme val="minor"/>
      </rPr>
      <t>include weight of packing materials, e.g. pallets, pallet wrap, etc.</t>
    </r>
    <r>
      <rPr>
        <sz val="12"/>
        <color theme="1"/>
        <rFont val="Calibri"/>
        <family val="2"/>
        <scheme val="minor"/>
      </rPr>
      <t>)
Enter distance traveled from shipping location to destination.</t>
    </r>
  </si>
  <si>
    <r>
      <rPr>
        <b/>
        <i/>
        <u/>
        <sz val="14"/>
        <color rgb="FFFF0000"/>
        <rFont val="Calibri"/>
        <family val="2"/>
        <scheme val="minor"/>
      </rPr>
      <t>Note</t>
    </r>
    <r>
      <rPr>
        <b/>
        <i/>
        <sz val="14"/>
        <color rgb="FFFF0000"/>
        <rFont val="Calibri"/>
        <family val="2"/>
        <scheme val="minor"/>
      </rPr>
      <t>: Enter total weight of product shipped to each destination (including the weight of packing materials, e.g. pallets, pallet wrap, etc.)</t>
    </r>
  </si>
  <si>
    <t>Tip: You may wish to refer to tools for measuring freight distances (e.g. sea-distances.org, gcmap.com)</t>
  </si>
  <si>
    <t>Outsourced Harvest Transport (internal fruit only)</t>
  </si>
  <si>
    <t>Wine Sample Shipments (Domestic)</t>
  </si>
  <si>
    <t>Wine Club Shipments (Domestic)</t>
  </si>
  <si>
    <t>Custom Emission Factor Distributor</t>
  </si>
  <si>
    <t>Domestic Product Transport (excluding wine club shipments)</t>
  </si>
  <si>
    <t>Rail</t>
  </si>
  <si>
    <t>Destination</t>
  </si>
  <si>
    <t>Product Weight 
(kg)</t>
  </si>
  <si>
    <t>Distance 
(km)</t>
  </si>
  <si>
    <t>Total Metric Ton Kilometers
(mt.km)</t>
  </si>
  <si>
    <t>Total CH4 Emissions 
(metric ton CO2e)</t>
  </si>
  <si>
    <t>Total N2O Emissions
(metric ton CO2e)</t>
  </si>
  <si>
    <t>Total CO2 Emissions (metric ton CO2e)</t>
  </si>
  <si>
    <t>See tool for measuring freight distances: http://www.gcmap.com/</t>
  </si>
  <si>
    <t>Aircraft - Shipments</t>
  </si>
  <si>
    <t>Sum of Product Weight 
(kg)</t>
  </si>
  <si>
    <t>Total Tonne Kilometers
(tkm)</t>
  </si>
  <si>
    <t>*Without radiative forcing multiplier</t>
  </si>
  <si>
    <t>Long Haul Truck</t>
  </si>
  <si>
    <t>Assumes all long haul heavy freight trucks. Emission factors for Urban &amp; Truck general available</t>
  </si>
  <si>
    <t>Waterborne Freight</t>
  </si>
  <si>
    <t>See tool for measuring freight distance:  https://sea-distances.org/</t>
  </si>
  <si>
    <t>International Shipments</t>
  </si>
  <si>
    <t>International Waterborne Freight</t>
  </si>
  <si>
    <t>Long Haul Aircraft</t>
  </si>
  <si>
    <r>
      <t xml:space="preserve">Outsourced Harvest Transport - Heavy Duty Truck </t>
    </r>
    <r>
      <rPr>
        <b/>
        <i/>
        <sz val="24"/>
        <color theme="0"/>
        <rFont val="Calibri"/>
        <family val="2"/>
        <scheme val="minor"/>
      </rPr>
      <t>(Internal Fruit Only)</t>
    </r>
  </si>
  <si>
    <r>
      <t>Winery should use "Upstream Product Transport" section on Purchased Products tab to calculate emissions for grape transport (grower fruit only</t>
    </r>
    <r>
      <rPr>
        <sz val="12"/>
        <color rgb="FFFF0000"/>
        <rFont val="Calibri"/>
        <family val="2"/>
        <scheme val="minor"/>
      </rPr>
      <t>)</t>
    </r>
    <r>
      <rPr>
        <i/>
        <sz val="12"/>
        <color rgb="FFFF0000"/>
        <rFont val="Calibri"/>
        <family val="2"/>
        <scheme val="minor"/>
      </rPr>
      <t>. Note: whatever emissions value the winery calculates for grape transport (grower fruit only) should be manually added to the GHG Emissions Breakdown tab to Cell D43.</t>
    </r>
  </si>
  <si>
    <t>Supplier</t>
  </si>
  <si>
    <r>
      <t>CO</t>
    </r>
    <r>
      <rPr>
        <vertAlign val="subscript"/>
        <sz val="12"/>
        <color theme="1"/>
        <rFont val="Calibri"/>
        <family val="2"/>
        <scheme val="minor"/>
      </rPr>
      <t>2</t>
    </r>
    <r>
      <rPr>
        <sz val="12"/>
        <color theme="1"/>
        <rFont val="Calibri"/>
        <family val="2"/>
        <scheme val="minor"/>
      </rPr>
      <t xml:space="preserve"> Emissions
(metric tons)</t>
    </r>
  </si>
  <si>
    <t>CH4 Emissions
(metric tons)</t>
  </si>
  <si>
    <t>N2O Emissions
(metric tons)</t>
  </si>
  <si>
    <t>Wine Sample Shipments</t>
  </si>
  <si>
    <t>Wine Club Shipments</t>
  </si>
  <si>
    <t>National</t>
  </si>
  <si>
    <t>Distance
(km)</t>
  </si>
  <si>
    <t>CO2 Emissions Factor 
(kg CO2/km)</t>
  </si>
  <si>
    <t>CO2 emissions
(metric tons)</t>
  </si>
  <si>
    <t>CH4 Emissions Factor 
(g CO2/km)</t>
  </si>
  <si>
    <t>N2O Emissions Factor 
(g CO2/km)</t>
  </si>
  <si>
    <t>N2O Emissions 
(metric tons)</t>
  </si>
  <si>
    <t>Total CO2 Equivalents (metric tons)</t>
  </si>
  <si>
    <t>Solid Waste Emissions</t>
  </si>
  <si>
    <t>Input total tonnage of material recycled, composted and sent to landfill at each location.
Input pomace composted with other organic material composted.
Input litres of wastewater treated by third-party facility.</t>
  </si>
  <si>
    <t>Total CO2
(metric tonne)</t>
  </si>
  <si>
    <t>Offsite Wastewater Treatment</t>
  </si>
  <si>
    <t>Recycling CO2-e
(metric tonne)</t>
  </si>
  <si>
    <t>Mixed Organic Compost CO2-e 
(metric tonne)</t>
  </si>
  <si>
    <t>All Landfill Waste CO2-e 
(metric tonne)</t>
  </si>
  <si>
    <t>Hazardous Waste</t>
  </si>
  <si>
    <t>Enter cases sold domestically and internationally.
Enter average weight of 12 empyty wine bottles.</t>
  </si>
  <si>
    <t>Domestic</t>
  </si>
  <si>
    <t>International</t>
  </si>
  <si>
    <t>Region</t>
  </si>
  <si>
    <t>Cases Sold</t>
  </si>
  <si>
    <t>Total Weight of Glass
(kg)</t>
  </si>
  <si>
    <t>Total Weight Recycled 
(kg)</t>
  </si>
  <si>
    <t>Total Weight to Landfill
(kg)</t>
  </si>
  <si>
    <t>Recycling 
(metric ton)</t>
  </si>
  <si>
    <t>Recycling CO2 
(metric tons)</t>
  </si>
  <si>
    <t>Landfill Waste 
(metric tons)</t>
  </si>
  <si>
    <t>Solid Waste Emissions 
(CO2e metric tons)</t>
  </si>
  <si>
    <t xml:space="preserve">Business Travel includes airfare, rideshare/taxi, train and vehicles that are not company-owned and driven by employees (reimbursement for gas expenses and kilometers). </t>
  </si>
  <si>
    <t>By Personal Vehicle Mileage Reimbursement</t>
  </si>
  <si>
    <t>Kilometer Reimbursement</t>
  </si>
  <si>
    <t>Passenger Vehicle 22.5 mpg / 9.565733 kpl in GHG Protocol Cross Sector emission factors (https://ghgprotocol.org/calculation-tools#cross_sector_tools_id)</t>
  </si>
  <si>
    <t>By Vehicle Petrol Purchases (non company-owned vehicles)</t>
  </si>
  <si>
    <t>Purchased Petrol
(kL)</t>
  </si>
  <si>
    <t>Petrol Expenses</t>
  </si>
  <si>
    <t>Vehicle Miles</t>
  </si>
  <si>
    <t>Vehicle Type</t>
  </si>
  <si>
    <t>Distance Traveled
(km)</t>
  </si>
  <si>
    <t>Petrol hybrid</t>
  </si>
  <si>
    <t>Diesel hybrid</t>
  </si>
  <si>
    <t>Petrol plug-in hybrid (Petrol consumption)</t>
  </si>
  <si>
    <t>Petrol plug-in hybrid (Electricity consumption)</t>
  </si>
  <si>
    <t>Diesel plug-in hybrid (Diesel consumption)</t>
  </si>
  <si>
    <t>Diesel plug-in hybrid (Electricity consumption)</t>
  </si>
  <si>
    <t>Electric</t>
  </si>
  <si>
    <t>Flight Type</t>
  </si>
  <si>
    <t>Total Number of Flights (include all individual flights to and from)</t>
  </si>
  <si>
    <t>Total Distance Flown
(km)</t>
  </si>
  <si>
    <t>International (Short haul, &lt;3700 km)</t>
  </si>
  <si>
    <t>International (Long haul, &gt;3700 km)</t>
  </si>
  <si>
    <t>Total Kilometers Flown</t>
  </si>
  <si>
    <t>*International assumes average passenger. Additional emission factors available for different seat classes on Emission Factors tab</t>
  </si>
  <si>
    <t>Taxi/Rideshare</t>
  </si>
  <si>
    <t>Total Distance in Taxi/Rideshare</t>
  </si>
  <si>
    <t>Total Distance
(kM)</t>
  </si>
  <si>
    <t>Rail Type</t>
  </si>
  <si>
    <t xml:space="preserve">Metropolitan Average </t>
  </si>
  <si>
    <t xml:space="preserve">Metropolitan Electric </t>
  </si>
  <si>
    <t>Metropolitan Diesel</t>
  </si>
  <si>
    <t>*If unknown, use Average</t>
  </si>
  <si>
    <t>Emission Factor 
(kg CO2-e)</t>
  </si>
  <si>
    <t>National Average for Bus</t>
  </si>
  <si>
    <t xml:space="preserve">Electric Bus </t>
  </si>
  <si>
    <t xml:space="preserve">Diesel Bus </t>
  </si>
  <si>
    <t>Country</t>
  </si>
  <si>
    <t># of rooms</t>
  </si>
  <si>
    <t>Nights Stayed</t>
  </si>
  <si>
    <t>Rooms Per Night</t>
  </si>
  <si>
    <t>kg CO₂e</t>
  </si>
  <si>
    <t>Australia</t>
  </si>
  <si>
    <t>Austria</t>
  </si>
  <si>
    <t>Belgium</t>
  </si>
  <si>
    <t>Brazil</t>
  </si>
  <si>
    <t>Canada</t>
  </si>
  <si>
    <t>Caribbean Region</t>
  </si>
  <si>
    <t>China</t>
  </si>
  <si>
    <t>Colombia</t>
  </si>
  <si>
    <t>Costa Rica</t>
  </si>
  <si>
    <t>Czech Republic</t>
  </si>
  <si>
    <t>Egypt</t>
  </si>
  <si>
    <t>Fiji</t>
  </si>
  <si>
    <t>Finland</t>
  </si>
  <si>
    <t>France</t>
  </si>
  <si>
    <t>Germany</t>
  </si>
  <si>
    <t>Greece</t>
  </si>
  <si>
    <t>Hong Kong</t>
  </si>
  <si>
    <t>Hungary</t>
  </si>
  <si>
    <t>India</t>
  </si>
  <si>
    <t>Indonesia</t>
  </si>
  <si>
    <t>Ireland</t>
  </si>
  <si>
    <t>Israel</t>
  </si>
  <si>
    <t>Italy</t>
  </si>
  <si>
    <t>Japan</t>
  </si>
  <si>
    <t>Jordan</t>
  </si>
  <si>
    <t>Kazakhstan</t>
  </si>
  <si>
    <t>Macau</t>
  </si>
  <si>
    <t>Malaysia</t>
  </si>
  <si>
    <t>Maldives</t>
  </si>
  <si>
    <t>Mexico</t>
  </si>
  <si>
    <t>Morocco</t>
  </si>
  <si>
    <t>Netherlands</t>
  </si>
  <si>
    <t>New Zealand</t>
  </si>
  <si>
    <t>Oman</t>
  </si>
  <si>
    <t>Panama</t>
  </si>
  <si>
    <t>Philippines</t>
  </si>
  <si>
    <t>Poland</t>
  </si>
  <si>
    <t>Portugal</t>
  </si>
  <si>
    <t>Qatar</t>
  </si>
  <si>
    <t>Romania</t>
  </si>
  <si>
    <t>Russian Federation</t>
  </si>
  <si>
    <t>Saudi Arabia</t>
  </si>
  <si>
    <t>Singapore</t>
  </si>
  <si>
    <t>South Africa</t>
  </si>
  <si>
    <t>South Korea</t>
  </si>
  <si>
    <t>Spain</t>
  </si>
  <si>
    <t>Switzerland</t>
  </si>
  <si>
    <t>Thailand</t>
  </si>
  <si>
    <t>Turkey</t>
  </si>
  <si>
    <t>United Arab Emirates</t>
  </si>
  <si>
    <t>United Kingdom</t>
  </si>
  <si>
    <t>United States</t>
  </si>
  <si>
    <t>Vietnam</t>
  </si>
  <si>
    <t>Input total number of employees, average days worked per year and average distance traveled one way for each relevant mode of transportation.</t>
  </si>
  <si>
    <t>Employee Commuting - Passenger Vehicles</t>
  </si>
  <si>
    <t># of Employees Individually Driving Passenger Vehicles
(employee)</t>
  </si>
  <si>
    <t>Average # of Days Worked per Employee
(day)</t>
  </si>
  <si>
    <t>Average Km Traveled One Way per Employee
(km)</t>
  </si>
  <si>
    <t>Total Km Driven Per Year
(km)</t>
  </si>
  <si>
    <t>Gasoline (YPF)</t>
  </si>
  <si>
    <t>Diesel  (YPF)</t>
  </si>
  <si>
    <t>*Assumes vehicles are post 2010</t>
  </si>
  <si>
    <t>Employee Commuting - Bus</t>
  </si>
  <si>
    <t># of Employees Individually Riding the Bus
(employee)</t>
  </si>
  <si>
    <t>Total Km Traveled 
Per Year
(km)</t>
  </si>
  <si>
    <t>Seasonal Workers</t>
  </si>
  <si>
    <t>Tasting Room Traffic Emissions</t>
  </si>
  <si>
    <t>Input total number of people that visited tasting rooms during the reporting period.
Enter estimated average distance per trip (total km return)
Estimate Number of passengers per vehicle; default 2</t>
  </si>
  <si>
    <t>Total Tasting Room Traffic Emissions</t>
  </si>
  <si>
    <t xml:space="preserve">Total Traffic
(Visitors) </t>
  </si>
  <si>
    <t>Average Passengers 
per vehicle</t>
  </si>
  <si>
    <t>Total Vehicle Trips</t>
  </si>
  <si>
    <t>Average Distance 
per trip 
(km)</t>
  </si>
  <si>
    <t>Total Distance Traveled
(km)</t>
  </si>
  <si>
    <t>Average Vehicle Efficiency
(km/l)</t>
  </si>
  <si>
    <t>* Assumes Default Private Car Emissions Factor</t>
  </si>
  <si>
    <t>Fertilizer Production Emissions</t>
  </si>
  <si>
    <t>Input total kgs of fertilizer or total N of fertilizer.</t>
  </si>
  <si>
    <t>Crop Protection Type</t>
  </si>
  <si>
    <t>Sum of Product 
(kg)</t>
  </si>
  <si>
    <t>Sum of N 
(kg)</t>
  </si>
  <si>
    <t>Emission Factor 
(kg CO2/kg N)</t>
  </si>
  <si>
    <t>Emission Factor 
(kg CO2/kg Product)</t>
  </si>
  <si>
    <t>Unknown (mean N fertilizer)</t>
  </si>
  <si>
    <t>N/A</t>
  </si>
  <si>
    <t>Nitrogen Solutions (liquid UAN)</t>
  </si>
  <si>
    <t>Anhydrous Ammonia</t>
  </si>
  <si>
    <t>Calcium Ammonium Nitrate</t>
  </si>
  <si>
    <t xml:space="preserve">Ammonium Nitrate </t>
  </si>
  <si>
    <t>Ammonium Sulphate</t>
  </si>
  <si>
    <t>N-Fertilizer</t>
  </si>
  <si>
    <t>Wine Storage Energy Use Emissions</t>
  </si>
  <si>
    <t>Input total number of white wine bottles (and, where relevant, red wine bottles) sold to supermarkets, to retail warehouses and bottles eventually ending up in a consumer's home.</t>
  </si>
  <si>
    <t>Supermarket Emissions</t>
  </si>
  <si>
    <t>Retailer Warehouse Emissions</t>
  </si>
  <si>
    <t>Home Emissions</t>
  </si>
  <si>
    <t>Supermarket/Restaurant</t>
  </si>
  <si>
    <t>White Wine Bottles Sold in Supermarkets and Restaurants Using Refrigeration</t>
  </si>
  <si>
    <t>Energy Used
(kwh)</t>
  </si>
  <si>
    <t>estimation based on 20% of total White Wine</t>
  </si>
  <si>
    <t xml:space="preserve">Input total number of white wine bottles sold in supermarket/restaurant that you assume used refrigeration. </t>
  </si>
  <si>
    <t>Retail Warehouse</t>
  </si>
  <si>
    <t>Red and White Wine Bottles Sold from Retail Warehouse</t>
  </si>
  <si>
    <t>Consumer Home</t>
  </si>
  <si>
    <t>Off Premise White Wine Bottles Sold Using Refrigeration</t>
  </si>
  <si>
    <t xml:space="preserve">Input total number of white wine bottles sold that you assume used refrigeration upon eventually ending up in a consumer's home. </t>
  </si>
  <si>
    <t xml:space="preserve">*emission factor average of all territories. Territory specific factors available in EF tab. </t>
  </si>
  <si>
    <t>Vineyard Row Cropping Emissions</t>
  </si>
  <si>
    <t>Input planted hectares and percentage of that area which have cover crops.</t>
  </si>
  <si>
    <t>Total Sequestered CO2e from Covered Crops
(metric tonne)</t>
  </si>
  <si>
    <t>Planted Area
(hectare)</t>
  </si>
  <si>
    <t>% of Area with Cover Crops</t>
  </si>
  <si>
    <t>Cover Crop Area
(hectare)</t>
  </si>
  <si>
    <t>Row Cropping Carbon Addition
(metric tonne)</t>
  </si>
  <si>
    <t>Winemaking Emissions</t>
  </si>
  <si>
    <t>Input total litres fermented and average Brix and Residual Sugar for each winery.</t>
  </si>
  <si>
    <t>Total Winemaking Fermentation Emissions</t>
  </si>
  <si>
    <t>Winery Location</t>
  </si>
  <si>
    <t>Wine Fermented
(litre)</t>
  </si>
  <si>
    <t>Average Harvest  Brix 
(g/100ml)</t>
  </si>
  <si>
    <t>Average Residual Sugar
(g/100ml)</t>
  </si>
  <si>
    <t>Juice 
(kg)</t>
  </si>
  <si>
    <t>Juice 
(tons)</t>
  </si>
  <si>
    <t>Fermentable Reducing Sugar 
(%)</t>
  </si>
  <si>
    <t>Fermentable Sugar 
(metric tonnes)</t>
  </si>
  <si>
    <t>Vineyard Biomass Photosynthesis</t>
  </si>
  <si>
    <t>Input planted hectares and total tonnes harvested for each vineyard or ranch.</t>
  </si>
  <si>
    <t>Total Biomass CO2e 
(metric tonne)</t>
  </si>
  <si>
    <t>Total Sequestered CO2e 
(metric tonne)</t>
  </si>
  <si>
    <t>Total Balance CO2e 
(metric tonne)</t>
  </si>
  <si>
    <t>Vineyard/Ranch Name</t>
  </si>
  <si>
    <t>Planted Area
(hectacre)</t>
  </si>
  <si>
    <t>Harvest
(metric tonne)</t>
  </si>
  <si>
    <t>Fermentable Sugar 
(metric tonne)</t>
  </si>
  <si>
    <t>Total CO2 Sequestered in Sugar Production
(metric tonne)</t>
  </si>
  <si>
    <t>Total CO2 Consumed in Carbohydrate Reserves
(metric tonne)</t>
  </si>
  <si>
    <t>Total CO2 Consumed in Current Shoots and Leaves
(metric tonne)</t>
  </si>
  <si>
    <t>Pruning Decomposition CO2 Emitted
(metric tonne)</t>
  </si>
  <si>
    <t>Total CO2 Sequestered in Permanent Structures
(metric tonne)</t>
  </si>
  <si>
    <t>Total CO2 Sequestered in Biomass Clusters
(metric tonne)</t>
  </si>
  <si>
    <t>Total CO2 Sequestered in Roots
(metric tonne)</t>
  </si>
  <si>
    <t>Prunings: Total CO2 Sequestered into Ground
(metric tonne)</t>
  </si>
  <si>
    <t>Compost Application Sequestration</t>
  </si>
  <si>
    <t xml:space="preserve">Input volume of compost applied, the number of tillage passes annually and the number of years compost has been applied to your fields.
Use table to find tillage impact on soil as a percentage of loss in C
</t>
  </si>
  <si>
    <t>Total Sequestration from Compost</t>
  </si>
  <si>
    <t># of Years applied</t>
  </si>
  <si>
    <t># of Tillage Passes Annually</t>
  </si>
  <si>
    <t>Tonnes / year applied
(metric tonne)</t>
  </si>
  <si>
    <t>Conversion from t to sht
(ton)</t>
  </si>
  <si>
    <t>25% carbon content / ton of compost</t>
  </si>
  <si>
    <t>Conversion for C to CO2e 
(ton)</t>
  </si>
  <si>
    <t>Conversion from sht to t
(metric tonne)</t>
  </si>
  <si>
    <t>Tillage impact on Soil 
(% loss in C)</t>
  </si>
  <si>
    <t>Vineyard Compost Application &amp; Sequestration Calculator (Example)</t>
  </si>
  <si>
    <t>All Vineyard Acreage</t>
  </si>
  <si>
    <t>Acres</t>
  </si>
  <si>
    <t>US Tons / acre</t>
  </si>
  <si>
    <t>Cover Crop Coverage</t>
  </si>
  <si>
    <t>Tons / year applied</t>
  </si>
  <si>
    <t>Conversion for C to CO2e (tons)</t>
  </si>
  <si>
    <t>Conversion for US Tons to Metric Tons</t>
  </si>
  <si>
    <t>Cover Crop Impact on Soil C</t>
  </si>
  <si>
    <t>Tillage impact on Soil C</t>
  </si>
  <si>
    <t>Total Metric Tons Applied C02 equiv</t>
  </si>
  <si>
    <t>Key</t>
  </si>
  <si>
    <t>at 1 ton/acre</t>
  </si>
  <si>
    <t>Input Field</t>
  </si>
  <si>
    <t>at 2 tons/acre</t>
  </si>
  <si>
    <t>Formula Field</t>
  </si>
  <si>
    <t>at 3.5 tons/acre</t>
  </si>
  <si>
    <t>at 5 tons/acre</t>
  </si>
  <si>
    <t>Tillage Impact on Soil C</t>
  </si>
  <si>
    <t>at 10 tons/acre</t>
  </si>
  <si>
    <t>No Till</t>
  </si>
  <si>
    <t>No impact</t>
  </si>
  <si>
    <t>Total Metric Tons CO2 Sequestered Over 10 years</t>
  </si>
  <si>
    <t>Alternate Row</t>
  </si>
  <si>
    <t>25% loss of compost C each year for alternate row</t>
  </si>
  <si>
    <t>Every Row</t>
  </si>
  <si>
    <t>50% loss of compost C each year you till</t>
  </si>
  <si>
    <t>Comments from Terra Institute for adaptations</t>
  </si>
  <si>
    <t>Global Warming Potential Values</t>
  </si>
  <si>
    <t>Common name</t>
  </si>
  <si>
    <t>Formula</t>
  </si>
  <si>
    <t>Global Warming Potential Values (100 year time horizon)</t>
  </si>
  <si>
    <t>CH4</t>
  </si>
  <si>
    <t>Check</t>
  </si>
  <si>
    <t>Values internationally applicable</t>
  </si>
  <si>
    <t>Nitrous Oxide</t>
  </si>
  <si>
    <t>N2O</t>
  </si>
  <si>
    <t>https://www.ghgprotocol.org/sites/default/files/ghgp/Global-Warming-Potential-Values%20%28Feb%2016%202016%29_1.pdf</t>
  </si>
  <si>
    <t>Exchange Rates (CLP, 2024)</t>
  </si>
  <si>
    <t>Exchange</t>
  </si>
  <si>
    <t>Average 2024 Exchange Rate</t>
  </si>
  <si>
    <t>USD to ARS</t>
  </si>
  <si>
    <t>https://www.xe.com/currencyconverter/convert/?Amount=1&amp;From=USD&amp;To=ARS</t>
  </si>
  <si>
    <t>https://www.exchangerates.org.uk/ARS-CLP-spot-exchange-rates-history-2024.html</t>
  </si>
  <si>
    <t>USD to CLP</t>
  </si>
  <si>
    <t>1 USD to CLP - US Dollars to Chilean Pesos Exchange Rate (xe.com)</t>
  </si>
  <si>
    <t>Table 4 Direct (Scope 1) emission factors for the consumption of gaseous fuels including liquefied natural gas</t>
  </si>
  <si>
    <t>Fuel combusted</t>
  </si>
  <si>
    <t>Energy Content factor</t>
  </si>
  <si>
    <t>Scope 1 Emission Factor</t>
  </si>
  <si>
    <r>
      <t xml:space="preserve">(GJ/m3 </t>
    </r>
    <r>
      <rPr>
        <b/>
        <sz val="9"/>
        <color theme="1"/>
        <rFont val="Calibri"/>
        <family val="2"/>
        <scheme val="minor"/>
      </rPr>
      <t>unless otherwise indicated)</t>
    </r>
  </si>
  <si>
    <r>
      <t>(kg CO</t>
    </r>
    <r>
      <rPr>
        <b/>
        <vertAlign val="subscript"/>
        <sz val="11"/>
        <color theme="1"/>
        <rFont val="Calibri"/>
        <family val="2"/>
        <scheme val="minor"/>
      </rPr>
      <t>2</t>
    </r>
    <r>
      <rPr>
        <b/>
        <sz val="11"/>
        <color theme="1"/>
        <rFont val="Calibri"/>
        <family val="2"/>
        <scheme val="minor"/>
      </rPr>
      <t>‑e/GJ)</t>
    </r>
  </si>
  <si>
    <r>
      <t>CO</t>
    </r>
    <r>
      <rPr>
        <b/>
        <vertAlign val="subscript"/>
        <sz val="11"/>
        <color theme="1"/>
        <rFont val="Calibri"/>
        <family val="2"/>
        <scheme val="minor"/>
      </rPr>
      <t>2</t>
    </r>
  </si>
  <si>
    <r>
      <t>CH</t>
    </r>
    <r>
      <rPr>
        <b/>
        <vertAlign val="subscript"/>
        <sz val="11"/>
        <color theme="1"/>
        <rFont val="Calibri"/>
        <family val="2"/>
        <scheme val="minor"/>
      </rPr>
      <t>4</t>
    </r>
  </si>
  <si>
    <r>
      <t>N</t>
    </r>
    <r>
      <rPr>
        <b/>
        <vertAlign val="subscript"/>
        <sz val="11"/>
        <color theme="1"/>
        <rFont val="Calibri"/>
        <family val="2"/>
        <scheme val="minor"/>
      </rPr>
      <t>2</t>
    </r>
    <r>
      <rPr>
        <b/>
        <sz val="11"/>
        <color theme="1"/>
        <rFont val="Calibri"/>
        <family val="2"/>
        <scheme val="minor"/>
      </rPr>
      <t>O</t>
    </r>
  </si>
  <si>
    <t>Combined gases</t>
  </si>
  <si>
    <t>Natural gas distributed in a pipeline</t>
  </si>
  <si>
    <t>adapted through IPCC, Stationary Combustion for Agriculture; GEMIS 5.1</t>
  </si>
  <si>
    <t>Refinery Gas</t>
  </si>
  <si>
    <t>adapted through IPCC, Stationary Combustion for Agriculture</t>
  </si>
  <si>
    <t>Liquified Petroleum Gases</t>
  </si>
  <si>
    <t>Unprocessed natural gas</t>
  </si>
  <si>
    <t>remained unchanged</t>
  </si>
  <si>
    <t>Ethane</t>
  </si>
  <si>
    <t>Coke oven gas</t>
  </si>
  <si>
    <t>Blast furnace gas</t>
  </si>
  <si>
    <t>Town gas</t>
  </si>
  <si>
    <t>Liquefied natural gas</t>
  </si>
  <si>
    <t>25.3 GJ/kL</t>
  </si>
  <si>
    <t>Gaseous fossil fuels other than those mentioned in the items above</t>
  </si>
  <si>
    <t>Landfill biogas that is captured for combustion (methane only)</t>
  </si>
  <si>
    <t>Sludge biogas that is captured for combustion (methane only)</t>
  </si>
  <si>
    <t>A biogas that is captured for combustion, other than those mentioned in the items above</t>
  </si>
  <si>
    <t>Source: EF for Stationary Combustion in Agriculture https://www.ipcc-nggip.iges.or.jp/public/2006gl/pdf/2_Volume2/V2_2_Ch2_Stationary_Combustion.pdf</t>
  </si>
  <si>
    <t>Further Sources:</t>
  </si>
  <si>
    <t>Table 5 Indirect (Scope 3) emission factors for the consumption of gaseous fuels</t>
  </si>
  <si>
    <t>EPA 2022</t>
  </si>
  <si>
    <t>ghg_emission_factors_hub.pdf (epa.gov)</t>
  </si>
  <si>
    <r>
      <t>Scope 3 Emission Factors (well to tank-WTT) for Natural Gas (kg CO</t>
    </r>
    <r>
      <rPr>
        <b/>
        <vertAlign val="subscript"/>
        <sz val="11"/>
        <color theme="1"/>
        <rFont val="Calibri"/>
        <family val="2"/>
        <scheme val="minor"/>
      </rPr>
      <t>2</t>
    </r>
    <r>
      <rPr>
        <b/>
        <sz val="11"/>
        <color theme="1"/>
        <rFont val="Calibri"/>
        <family val="2"/>
        <scheme val="minor"/>
      </rPr>
      <t>-e/Unit)</t>
    </r>
  </si>
  <si>
    <t>Unit</t>
  </si>
  <si>
    <t>Butane</t>
  </si>
  <si>
    <t>Liters</t>
  </si>
  <si>
    <t>CNG</t>
  </si>
  <si>
    <t>LNG</t>
  </si>
  <si>
    <t>Cubic Meters</t>
  </si>
  <si>
    <t>Propane</t>
  </si>
  <si>
    <t>Source: https://www.gov.uk/government/publications/greenhouse-gas-reporting-conversion-factors-2023</t>
  </si>
  <si>
    <t>Table 7 Direct (Scope 1) and indirect (scope 3) emission factors for the consumption of liquid fuels, including certain petroleum based products for stationary energy purposes</t>
  </si>
  <si>
    <t>Scope 3 Emission Factor</t>
  </si>
  <si>
    <t>(GJ per unit of fuel)</t>
  </si>
  <si>
    <r>
      <t>(kg CO</t>
    </r>
    <r>
      <rPr>
        <b/>
        <vertAlign val="subscript"/>
        <sz val="11"/>
        <color theme="1"/>
        <rFont val="Calibri"/>
        <family val="2"/>
        <scheme val="minor"/>
      </rPr>
      <t>2</t>
    </r>
    <r>
      <rPr>
        <b/>
        <sz val="11"/>
        <color theme="1"/>
        <rFont val="Calibri"/>
        <family val="2"/>
        <scheme val="minor"/>
      </rPr>
      <t>‑e /GJ)</t>
    </r>
  </si>
  <si>
    <r>
      <t>(kg CO</t>
    </r>
    <r>
      <rPr>
        <b/>
        <vertAlign val="subscript"/>
        <sz val="11"/>
        <color theme="1"/>
        <rFont val="Calibri"/>
        <family val="2"/>
        <scheme val="minor"/>
      </rPr>
      <t>2</t>
    </r>
    <r>
      <rPr>
        <b/>
        <sz val="11"/>
        <color theme="1"/>
        <rFont val="Calibri"/>
        <family val="2"/>
        <scheme val="minor"/>
      </rPr>
      <t>‑e /kWh)</t>
    </r>
  </si>
  <si>
    <r>
      <t>Upstream Emission Factor
(kg CO2e/liter)</t>
    </r>
    <r>
      <rPr>
        <b/>
        <sz val="9"/>
        <color rgb="FFFF0000"/>
        <rFont val="Calibri"/>
        <family val="2"/>
        <scheme val="minor"/>
      </rPr>
      <t>*</t>
    </r>
  </si>
  <si>
    <t>Helicopter upstream emission factor</t>
  </si>
  <si>
    <t>Petroleum based oils (other than petroleum based oil used as fuel), e.g. lubricants</t>
  </si>
  <si>
    <r>
      <t xml:space="preserve">38.8 </t>
    </r>
    <r>
      <rPr>
        <b/>
        <sz val="11"/>
        <color theme="1"/>
        <rFont val="Calibri"/>
        <family val="2"/>
        <scheme val="minor"/>
      </rPr>
      <t>GJ/kL</t>
    </r>
  </si>
  <si>
    <t>Petroleum based greases</t>
  </si>
  <si>
    <t>Crude oil including crude oil condensates</t>
  </si>
  <si>
    <t>45.3 GJ/t</t>
  </si>
  <si>
    <t>NE</t>
  </si>
  <si>
    <t>IPCC</t>
  </si>
  <si>
    <t>Other natural gas liquids</t>
  </si>
  <si>
    <t>46.5 GJ/t</t>
  </si>
  <si>
    <r>
      <t>Automotive gasoline/petrol (other than for use as fuel in an aircraft) (</t>
    </r>
    <r>
      <rPr>
        <b/>
        <sz val="11"/>
        <color theme="1"/>
        <rFont val="Calibri"/>
        <family val="2"/>
        <scheme val="minor"/>
      </rPr>
      <t>GJ/kL)</t>
    </r>
  </si>
  <si>
    <t>Aviation gasoline (GJ/kL)</t>
  </si>
  <si>
    <t>Kerosene (other than for use as fuel in an aircraft)</t>
  </si>
  <si>
    <r>
      <t xml:space="preserve">37.5 </t>
    </r>
    <r>
      <rPr>
        <b/>
        <sz val="11"/>
        <color theme="1"/>
        <rFont val="Calibri"/>
        <family val="2"/>
        <scheme val="minor"/>
      </rPr>
      <t>GJ/kL</t>
    </r>
  </si>
  <si>
    <t>Aviation turbine fuel/kerosene (GJ/kL)</t>
  </si>
  <si>
    <t>Heating oil</t>
  </si>
  <si>
    <r>
      <t xml:space="preserve">37.3 </t>
    </r>
    <r>
      <rPr>
        <b/>
        <sz val="11"/>
        <color theme="1"/>
        <rFont val="Calibri"/>
        <family val="2"/>
        <scheme val="minor"/>
      </rPr>
      <t>GJ/kL</t>
    </r>
  </si>
  <si>
    <r>
      <t xml:space="preserve">Diesel oil </t>
    </r>
    <r>
      <rPr>
        <b/>
        <sz val="11"/>
        <color theme="1"/>
        <rFont val="Calibri"/>
        <family val="2"/>
        <scheme val="minor"/>
      </rPr>
      <t>(GJ/kL)</t>
    </r>
  </si>
  <si>
    <t>Fuel oil</t>
  </si>
  <si>
    <r>
      <t xml:space="preserve">39.7 </t>
    </r>
    <r>
      <rPr>
        <b/>
        <sz val="11"/>
        <color theme="1"/>
        <rFont val="Calibri"/>
        <family val="2"/>
        <scheme val="minor"/>
      </rPr>
      <t>GJ/kL</t>
    </r>
  </si>
  <si>
    <t>Liquefied aromatic hydrocarbons</t>
  </si>
  <si>
    <r>
      <t xml:space="preserve">34.4 </t>
    </r>
    <r>
      <rPr>
        <b/>
        <sz val="11"/>
        <color theme="1"/>
        <rFont val="Calibri"/>
        <family val="2"/>
        <scheme val="minor"/>
      </rPr>
      <t>GJ/kL</t>
    </r>
  </si>
  <si>
    <t>Solvents: mineral turpentine or white spirits</t>
  </si>
  <si>
    <r>
      <t xml:space="preserve">Liquefied petroleum gas (LPG) </t>
    </r>
    <r>
      <rPr>
        <b/>
        <sz val="11"/>
        <color theme="1"/>
        <rFont val="Calibri"/>
        <family val="2"/>
        <scheme val="minor"/>
      </rPr>
      <t>(GJ/kL)</t>
    </r>
  </si>
  <si>
    <t>Naphtha</t>
  </si>
  <si>
    <r>
      <t xml:space="preserve">31.4 </t>
    </r>
    <r>
      <rPr>
        <b/>
        <sz val="11"/>
        <color theme="1"/>
        <rFont val="Calibri"/>
        <family val="2"/>
        <scheme val="minor"/>
      </rPr>
      <t>GJ/kL</t>
    </r>
  </si>
  <si>
    <t>Petroleum coke</t>
  </si>
  <si>
    <t>34.2 GJ/t</t>
  </si>
  <si>
    <t>Refinery gas and liquids</t>
  </si>
  <si>
    <t>42.9 GJ/t</t>
  </si>
  <si>
    <t>Refinery coke</t>
  </si>
  <si>
    <t>Petroleum based products other than mentioned in the items above</t>
  </si>
  <si>
    <t>Biodiesel</t>
  </si>
  <si>
    <r>
      <t xml:space="preserve">34.6 </t>
    </r>
    <r>
      <rPr>
        <b/>
        <sz val="11"/>
        <color theme="1"/>
        <rFont val="Calibri"/>
        <family val="2"/>
        <scheme val="minor"/>
      </rPr>
      <t>GJ/kL</t>
    </r>
  </si>
  <si>
    <t>Ethanol for use as a fuel in an internal combustion engine</t>
  </si>
  <si>
    <r>
      <t xml:space="preserve">23.4 </t>
    </r>
    <r>
      <rPr>
        <b/>
        <sz val="11"/>
        <color theme="1"/>
        <rFont val="Calibri"/>
        <family val="2"/>
        <scheme val="minor"/>
      </rPr>
      <t>GJ/kL</t>
    </r>
  </si>
  <si>
    <t>Biofuels other than those mentioned in the items above and below</t>
  </si>
  <si>
    <t>Renewable aviation kerosene</t>
  </si>
  <si>
    <t>36.8 GJ/kL</t>
  </si>
  <si>
    <t>Renewable diesel</t>
  </si>
  <si>
    <t>38.6 GJ/kL</t>
  </si>
  <si>
    <t>Scope 3: https://www.gov.uk/government/publications/greenhouse-gas-reporting-conversion-factors-2023</t>
  </si>
  <si>
    <t>Fuel type</t>
  </si>
  <si>
    <t>CLP/Liter (nation-wide)</t>
  </si>
  <si>
    <t xml:space="preserve">USD$/Liter </t>
  </si>
  <si>
    <t>Vehicle type</t>
  </si>
  <si>
    <t>Fuel economy (MPG)</t>
  </si>
  <si>
    <t>Fuel economy (kmpL)</t>
  </si>
  <si>
    <t>Passenger vehicles</t>
  </si>
  <si>
    <t>Light duty trucks</t>
  </si>
  <si>
    <t>Heavy duty trucks</t>
  </si>
  <si>
    <t>See Stationary</t>
  </si>
  <si>
    <t>https://ghgprotocol.org/calculation-tools#cross_sector_tools_id</t>
  </si>
  <si>
    <t>Argentina energy prices | GlobalPetrolPrices.com</t>
  </si>
  <si>
    <t>Soil and Fertilizer</t>
  </si>
  <si>
    <t xml:space="preserve">Annual direct emissions from N addition = Amount of Fertilizer (kg N/year) </t>
  </si>
  <si>
    <t>Emission Factor for Soil Emissions</t>
  </si>
  <si>
    <t>N2O = (# [kg N/yr] * 0.01 [Kg N2O-N/yr] + # [ha/yr] * 3 [kg N2O-N/yr]) * (44/28)
CO2e = N2O * 298</t>
  </si>
  <si>
    <t>Emission Factors from: http://www.wineinstitute.org/files/International%20Wine%20Carbon%20Calculator%20Protocol%20V1.2.pdf</t>
  </si>
  <si>
    <t>Emission Factor
(kg N2O-N/kg N volatized)</t>
  </si>
  <si>
    <t>Conversion Factor
(N into N2O)</t>
  </si>
  <si>
    <t>no changes made</t>
  </si>
  <si>
    <t>Emission Factor
(kg N2O-N/kg N leached)</t>
  </si>
  <si>
    <t>Fertilizer Type</t>
  </si>
  <si>
    <t>Conversion Factor</t>
  </si>
  <si>
    <t>ecoinvent 3.10, IPCC 2021 (GWP100): "market for inorganic phosphorus fertiliser, as P2O5" (CL, Chile)</t>
  </si>
  <si>
    <t>kg CO2e/kg product</t>
  </si>
  <si>
    <t>updated through EcoInvent 3.10</t>
  </si>
  <si>
    <t>ecoinvent 3.10, IPCC 2021 (GWP100): "market for inorganic potassium fertiliser, as K2O" (CL, Chile)</t>
  </si>
  <si>
    <t>ecoinvent 3.10, IPCC 2021 (GWP100): "market for lime" (GLO, Global)</t>
  </si>
  <si>
    <t>Wastewater</t>
  </si>
  <si>
    <t>Emission Factors from: http://www.ipw.co.za/content/pdfs/ghg/eng/International_Wine_Carbon_Calculator_Protocol_V1.2.pdf</t>
  </si>
  <si>
    <t>Reference Product</t>
  </si>
  <si>
    <t>Wastewater unpolluted</t>
  </si>
  <si>
    <t>ecoinvent 3.10, IPCC 2021 (GWP100): "market for wastewater, unpolluted" (RoW, Rest of the World)</t>
  </si>
  <si>
    <t>1m3</t>
  </si>
  <si>
    <t xml:space="preserve">kg CO2e/m3 </t>
  </si>
  <si>
    <t>Sewage Sludge</t>
  </si>
  <si>
    <t>ecoinvent 3.10, IPCC 2021 (GWP100): "market for sewage sludge" (RoW, Rest of the World)</t>
  </si>
  <si>
    <t>Refrigerants and CO2 in Winemaking</t>
  </si>
  <si>
    <t>Global-Warming-Potential-Values (Feb 16 2016)_0.pdf (ghgprotocol.org)</t>
  </si>
  <si>
    <r>
      <rPr>
        <sz val="11"/>
        <color theme="5"/>
        <rFont val="Calibri"/>
        <family val="2"/>
        <scheme val="minor"/>
      </rPr>
      <t>Refrigerants</t>
    </r>
    <r>
      <rPr>
        <u/>
        <sz val="11"/>
        <color theme="5"/>
        <rFont val="Calibri"/>
        <family val="2"/>
        <scheme val="minor"/>
      </rPr>
      <t xml:space="preserve"> https://www.ipcc.ch/publications_and_data/ar4/wg1/en/ch2s2-10-2.html </t>
    </r>
  </si>
  <si>
    <t xml:space="preserve">* specified medical gases https://www.ipcc.ch/site/assets/uploads/2018/02/WG1AR5_Chapter08_FINAL.pdf </t>
  </si>
  <si>
    <t>Table 32: Global Warming Potentials</t>
  </si>
  <si>
    <t>Gas</t>
  </si>
  <si>
    <t>Global Warming Potential</t>
  </si>
  <si>
    <r>
      <t>CO</t>
    </r>
    <r>
      <rPr>
        <vertAlign val="subscript"/>
        <sz val="9"/>
        <color theme="1"/>
        <rFont val="Arial"/>
        <family val="2"/>
      </rPr>
      <t>2</t>
    </r>
  </si>
  <si>
    <t>updated with AR5 GWP-100 values</t>
  </si>
  <si>
    <r>
      <t>CH</t>
    </r>
    <r>
      <rPr>
        <vertAlign val="subscript"/>
        <sz val="9"/>
        <color theme="1"/>
        <rFont val="Arial"/>
        <family val="2"/>
      </rPr>
      <t>4</t>
    </r>
  </si>
  <si>
    <t>Nitrous oxide</t>
  </si>
  <si>
    <r>
      <t>N</t>
    </r>
    <r>
      <rPr>
        <vertAlign val="subscript"/>
        <sz val="9"/>
        <color theme="1"/>
        <rFont val="Arial"/>
        <family val="2"/>
      </rPr>
      <t>2</t>
    </r>
    <r>
      <rPr>
        <sz val="9"/>
        <color theme="1"/>
        <rFont val="Arial"/>
        <family val="2"/>
      </rPr>
      <t>O</t>
    </r>
  </si>
  <si>
    <r>
      <t>SF</t>
    </r>
    <r>
      <rPr>
        <vertAlign val="subscript"/>
        <sz val="9"/>
        <color theme="1"/>
        <rFont val="Arial"/>
        <family val="2"/>
      </rPr>
      <t>6</t>
    </r>
  </si>
  <si>
    <t>Hydrofluorocarbons HFCs</t>
  </si>
  <si>
    <r>
      <t>CHF</t>
    </r>
    <r>
      <rPr>
        <vertAlign val="subscript"/>
        <sz val="9"/>
        <color theme="1"/>
        <rFont val="Arial"/>
        <family val="2"/>
      </rPr>
      <t>3</t>
    </r>
  </si>
  <si>
    <r>
      <t>CH</t>
    </r>
    <r>
      <rPr>
        <vertAlign val="subscript"/>
        <sz val="9"/>
        <color theme="1"/>
        <rFont val="Arial"/>
        <family val="2"/>
      </rPr>
      <t>2</t>
    </r>
    <r>
      <rPr>
        <sz val="9"/>
        <color theme="1"/>
        <rFont val="Arial"/>
        <family val="2"/>
      </rPr>
      <t>F</t>
    </r>
    <r>
      <rPr>
        <vertAlign val="subscript"/>
        <sz val="9"/>
        <color theme="1"/>
        <rFont val="Arial"/>
        <family val="2"/>
      </rPr>
      <t>2</t>
    </r>
  </si>
  <si>
    <r>
      <t>CH</t>
    </r>
    <r>
      <rPr>
        <vertAlign val="subscript"/>
        <sz val="9"/>
        <color theme="1"/>
        <rFont val="Arial"/>
        <family val="2"/>
      </rPr>
      <t>3</t>
    </r>
    <r>
      <rPr>
        <sz val="9"/>
        <color theme="1"/>
        <rFont val="Arial"/>
        <family val="2"/>
      </rPr>
      <t>F</t>
    </r>
  </si>
  <si>
    <r>
      <t>C</t>
    </r>
    <r>
      <rPr>
        <vertAlign val="subscript"/>
        <sz val="9"/>
        <color theme="1"/>
        <rFont val="Arial"/>
        <family val="2"/>
      </rPr>
      <t>5</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10</t>
    </r>
  </si>
  <si>
    <r>
      <t>C</t>
    </r>
    <r>
      <rPr>
        <vertAlign val="subscript"/>
        <sz val="9"/>
        <color theme="1"/>
        <rFont val="Arial"/>
        <family val="2"/>
      </rPr>
      <t>2</t>
    </r>
    <r>
      <rPr>
        <sz val="9"/>
        <color theme="1"/>
        <rFont val="Arial"/>
        <family val="2"/>
      </rPr>
      <t>HF</t>
    </r>
    <r>
      <rPr>
        <vertAlign val="subscript"/>
        <sz val="9"/>
        <color theme="1"/>
        <rFont val="Arial"/>
        <family val="2"/>
      </rPr>
      <t>5</t>
    </r>
  </si>
  <si>
    <r>
      <t>C</t>
    </r>
    <r>
      <rPr>
        <vertAlign val="subscript"/>
        <sz val="9"/>
        <color theme="1"/>
        <rFont val="Arial"/>
        <family val="2"/>
      </rPr>
      <t>2</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4</t>
    </r>
    <r>
      <rPr>
        <sz val="9"/>
        <color theme="1"/>
        <rFont val="Arial"/>
        <family val="2"/>
      </rPr>
      <t xml:space="preserve"> (CHF</t>
    </r>
    <r>
      <rPr>
        <vertAlign val="subscript"/>
        <sz val="9"/>
        <color theme="1"/>
        <rFont val="Arial"/>
        <family val="2"/>
      </rPr>
      <t>2</t>
    </r>
    <r>
      <rPr>
        <sz val="9"/>
        <color theme="1"/>
        <rFont val="Arial"/>
        <family val="2"/>
      </rPr>
      <t>CHF</t>
    </r>
    <r>
      <rPr>
        <vertAlign val="subscript"/>
        <sz val="9"/>
        <color theme="1"/>
        <rFont val="Arial"/>
        <family val="2"/>
      </rPr>
      <t>2</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</si>
  <si>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4</t>
    </r>
    <r>
      <rPr>
        <sz val="9"/>
        <color theme="1"/>
        <rFont val="Arial"/>
        <family val="2"/>
      </rPr>
      <t xml:space="preserve"> (CH</t>
    </r>
    <r>
      <rPr>
        <vertAlign val="subscript"/>
        <sz val="9"/>
        <color theme="1"/>
        <rFont val="Arial"/>
        <family val="2"/>
      </rPr>
      <t>2</t>
    </r>
    <r>
      <rPr>
        <sz val="9"/>
        <color theme="1"/>
        <rFont val="Arial"/>
        <family val="2"/>
      </rPr>
      <t>FCF</t>
    </r>
    <r>
      <rPr>
        <vertAlign val="subscript"/>
        <sz val="9"/>
        <color theme="1"/>
        <rFont val="Arial"/>
        <family val="2"/>
      </rPr>
      <t>3</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</si>
  <si>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3</t>
    </r>
    <r>
      <rPr>
        <sz val="9"/>
        <color theme="1"/>
        <rFont val="Arial"/>
        <family val="2"/>
      </rPr>
      <t xml:space="preserve"> (CHF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F)</t>
    </r>
  </si>
  <si>
    <r>
      <t>C</t>
    </r>
    <r>
      <rPr>
        <vertAlign val="subscript"/>
        <sz val="9"/>
        <color theme="1"/>
        <rFont val="Arial"/>
        <family val="2"/>
      </rPr>
      <t>2</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3</t>
    </r>
    <r>
      <rPr>
        <sz val="9"/>
        <color theme="1"/>
        <rFont val="Arial"/>
        <family val="2"/>
      </rPr>
      <t xml:space="preserve"> (CF</t>
    </r>
    <r>
      <rPr>
        <vertAlign val="subscript"/>
        <sz val="9"/>
        <color theme="1"/>
        <rFont val="Arial"/>
        <family val="2"/>
      </rPr>
      <t>3</t>
    </r>
    <r>
      <rPr>
        <sz val="9"/>
        <color theme="1"/>
        <rFont val="Arial"/>
        <family val="2"/>
      </rPr>
      <t>CH</t>
    </r>
    <r>
      <rPr>
        <vertAlign val="subscript"/>
        <sz val="9"/>
        <color theme="1"/>
        <rFont val="Arial"/>
        <family val="2"/>
      </rPr>
      <t>3</t>
    </r>
    <r>
      <rPr>
        <sz val="9"/>
        <color theme="1"/>
        <rFont val="Arial"/>
        <family val="2"/>
      </rPr>
      <t>)</t>
    </r>
  </si>
  <si>
    <r>
      <t>C</t>
    </r>
    <r>
      <rPr>
        <vertAlign val="subscript"/>
        <sz val="9"/>
        <color theme="1"/>
        <rFont val="Arial"/>
        <family val="2"/>
      </rPr>
      <t>2</t>
    </r>
    <r>
      <rPr>
        <sz val="9"/>
        <color theme="1"/>
        <rFont val="Arial"/>
        <family val="2"/>
      </rPr>
      <t>H</t>
    </r>
    <r>
      <rPr>
        <vertAlign val="subscript"/>
        <sz val="9"/>
        <color theme="1"/>
        <rFont val="Arial"/>
        <family val="2"/>
      </rPr>
      <t>4</t>
    </r>
    <r>
      <rPr>
        <sz val="9"/>
        <color theme="1"/>
        <rFont val="Arial"/>
        <family val="2"/>
      </rPr>
      <t>F</t>
    </r>
    <r>
      <rPr>
        <vertAlign val="subscript"/>
        <sz val="9"/>
        <color theme="1"/>
        <rFont val="Arial"/>
        <family val="2"/>
      </rPr>
      <t>2</t>
    </r>
    <r>
      <rPr>
        <sz val="9"/>
        <color theme="1"/>
        <rFont val="Arial"/>
        <family val="2"/>
      </rPr>
      <t xml:space="preserve"> (CH</t>
    </r>
    <r>
      <rPr>
        <vertAlign val="subscript"/>
        <sz val="9"/>
        <color theme="1"/>
        <rFont val="Arial"/>
        <family val="2"/>
      </rPr>
      <t>3</t>
    </r>
    <r>
      <rPr>
        <sz val="9"/>
        <color theme="1"/>
        <rFont val="Arial"/>
        <family val="2"/>
      </rPr>
      <t>CHF</t>
    </r>
    <r>
      <rPr>
        <vertAlign val="subscript"/>
        <sz val="9"/>
        <color theme="1"/>
        <rFont val="Arial"/>
        <family val="2"/>
      </rPr>
      <t>2</t>
    </r>
    <r>
      <rPr>
        <sz val="9"/>
        <color theme="1"/>
        <rFont val="Arial"/>
        <family val="2"/>
      </rPr>
      <t>)</t>
    </r>
  </si>
  <si>
    <r>
      <t>C</t>
    </r>
    <r>
      <rPr>
        <vertAlign val="subscript"/>
        <sz val="9"/>
        <color theme="1"/>
        <rFont val="Arial"/>
        <family val="2"/>
      </rPr>
      <t>3</t>
    </r>
    <r>
      <rPr>
        <sz val="9"/>
        <color theme="1"/>
        <rFont val="Arial"/>
        <family val="2"/>
      </rPr>
      <t>HF</t>
    </r>
    <r>
      <rPr>
        <vertAlign val="subscript"/>
        <sz val="9"/>
        <color theme="1"/>
        <rFont val="Arial"/>
        <family val="2"/>
      </rPr>
      <t>7</t>
    </r>
  </si>
  <si>
    <r>
      <t>C</t>
    </r>
    <r>
      <rPr>
        <vertAlign val="subscript"/>
        <sz val="9"/>
        <color theme="1"/>
        <rFont val="Arial"/>
        <family val="2"/>
      </rPr>
      <t>3</t>
    </r>
    <r>
      <rPr>
        <sz val="9"/>
        <color theme="1"/>
        <rFont val="Arial"/>
        <family val="2"/>
      </rPr>
      <t>H</t>
    </r>
    <r>
      <rPr>
        <vertAlign val="subscript"/>
        <sz val="9"/>
        <color theme="1"/>
        <rFont val="Arial"/>
        <family val="2"/>
      </rPr>
      <t>2</t>
    </r>
    <r>
      <rPr>
        <sz val="9"/>
        <color theme="1"/>
        <rFont val="Arial"/>
        <family val="2"/>
      </rPr>
      <t>F</t>
    </r>
    <r>
      <rPr>
        <vertAlign val="subscript"/>
        <sz val="9"/>
        <color theme="1"/>
        <rFont val="Arial"/>
        <family val="2"/>
      </rPr>
      <t>6</t>
    </r>
  </si>
  <si>
    <r>
      <t>C</t>
    </r>
    <r>
      <rPr>
        <vertAlign val="subscript"/>
        <sz val="9"/>
        <color theme="1"/>
        <rFont val="Arial"/>
        <family val="2"/>
      </rPr>
      <t>3</t>
    </r>
    <r>
      <rPr>
        <sz val="9"/>
        <color theme="1"/>
        <rFont val="Arial"/>
        <family val="2"/>
      </rPr>
      <t>H</t>
    </r>
    <r>
      <rPr>
        <vertAlign val="subscript"/>
        <sz val="9"/>
        <color theme="1"/>
        <rFont val="Arial"/>
        <family val="2"/>
      </rPr>
      <t>3</t>
    </r>
    <r>
      <rPr>
        <sz val="9"/>
        <color theme="1"/>
        <rFont val="Arial"/>
        <family val="2"/>
      </rPr>
      <t>F</t>
    </r>
    <r>
      <rPr>
        <vertAlign val="subscript"/>
        <sz val="9"/>
        <color theme="1"/>
        <rFont val="Arial"/>
        <family val="2"/>
      </rPr>
      <t>5</t>
    </r>
  </si>
  <si>
    <r>
      <t>CHF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CF</t>
    </r>
    <r>
      <rPr>
        <vertAlign val="subscript"/>
        <sz val="9"/>
        <color theme="1"/>
        <rFont val="Arial"/>
        <family val="2"/>
      </rPr>
      <t>3</t>
    </r>
  </si>
  <si>
    <r>
      <t>CH</t>
    </r>
    <r>
      <rPr>
        <vertAlign val="subscript"/>
        <sz val="9"/>
        <color theme="1"/>
        <rFont val="Arial"/>
        <family val="2"/>
      </rPr>
      <t>3</t>
    </r>
    <r>
      <rPr>
        <sz val="9"/>
        <color theme="1"/>
        <rFont val="Arial"/>
        <family val="2"/>
      </rPr>
      <t>CF</t>
    </r>
    <r>
      <rPr>
        <vertAlign val="subscript"/>
        <sz val="9"/>
        <color theme="1"/>
        <rFont val="Arial"/>
        <family val="2"/>
      </rPr>
      <t>2</t>
    </r>
    <r>
      <rPr>
        <sz val="9"/>
        <color theme="1"/>
        <rFont val="Arial"/>
        <family val="2"/>
      </rPr>
      <t>CH</t>
    </r>
    <r>
      <rPr>
        <vertAlign val="subscript"/>
        <sz val="9"/>
        <color theme="1"/>
        <rFont val="Arial"/>
        <family val="2"/>
      </rPr>
      <t>2</t>
    </r>
    <r>
      <rPr>
        <sz val="9"/>
        <color theme="1"/>
        <rFont val="Arial"/>
        <family val="2"/>
      </rPr>
      <t>CF</t>
    </r>
    <r>
      <rPr>
        <vertAlign val="subscript"/>
        <sz val="9"/>
        <color theme="1"/>
        <rFont val="Arial"/>
        <family val="2"/>
      </rPr>
      <t>3</t>
    </r>
  </si>
  <si>
    <t>Perfluorocarbons PFCs</t>
  </si>
  <si>
    <t>Perfluoromethane (tetrafluoromethane)</t>
  </si>
  <si>
    <r>
      <t>CF</t>
    </r>
    <r>
      <rPr>
        <vertAlign val="subscript"/>
        <sz val="9"/>
        <color theme="1"/>
        <rFont val="Arial"/>
        <family val="2"/>
      </rPr>
      <t>4</t>
    </r>
  </si>
  <si>
    <t>Perfluoroethane (hexafluoroethane)</t>
  </si>
  <si>
    <r>
      <t>C</t>
    </r>
    <r>
      <rPr>
        <vertAlign val="subscript"/>
        <sz val="9"/>
        <color theme="1"/>
        <rFont val="Arial"/>
        <family val="2"/>
      </rPr>
      <t>2</t>
    </r>
    <r>
      <rPr>
        <sz val="9"/>
        <color theme="1"/>
        <rFont val="Arial"/>
        <family val="2"/>
      </rPr>
      <t>F</t>
    </r>
    <r>
      <rPr>
        <vertAlign val="subscript"/>
        <sz val="9"/>
        <color theme="1"/>
        <rFont val="Arial"/>
        <family val="2"/>
      </rPr>
      <t>6</t>
    </r>
  </si>
  <si>
    <r>
      <t>C</t>
    </r>
    <r>
      <rPr>
        <vertAlign val="subscript"/>
        <sz val="9"/>
        <color theme="1"/>
        <rFont val="Arial"/>
        <family val="2"/>
      </rPr>
      <t>3</t>
    </r>
    <r>
      <rPr>
        <sz val="9"/>
        <color theme="1"/>
        <rFont val="Arial"/>
        <family val="2"/>
      </rPr>
      <t>F</t>
    </r>
    <r>
      <rPr>
        <vertAlign val="subscript"/>
        <sz val="9"/>
        <color theme="1"/>
        <rFont val="Arial"/>
        <family val="2"/>
      </rPr>
      <t>8</t>
    </r>
  </si>
  <si>
    <r>
      <t>C</t>
    </r>
    <r>
      <rPr>
        <vertAlign val="subscript"/>
        <sz val="9"/>
        <color theme="1"/>
        <rFont val="Arial"/>
        <family val="2"/>
      </rPr>
      <t>4</t>
    </r>
    <r>
      <rPr>
        <sz val="9"/>
        <color theme="1"/>
        <rFont val="Arial"/>
        <family val="2"/>
      </rPr>
      <t>F</t>
    </r>
    <r>
      <rPr>
        <vertAlign val="subscript"/>
        <sz val="9"/>
        <color theme="1"/>
        <rFont val="Arial"/>
        <family val="2"/>
      </rPr>
      <t>10</t>
    </r>
  </si>
  <si>
    <r>
      <t>c-C</t>
    </r>
    <r>
      <rPr>
        <vertAlign val="subscript"/>
        <sz val="9"/>
        <color theme="1"/>
        <rFont val="Arial"/>
        <family val="2"/>
      </rPr>
      <t>4</t>
    </r>
    <r>
      <rPr>
        <sz val="9"/>
        <color theme="1"/>
        <rFont val="Arial"/>
        <family val="2"/>
      </rPr>
      <t>F</t>
    </r>
    <r>
      <rPr>
        <vertAlign val="subscript"/>
        <sz val="9"/>
        <color theme="1"/>
        <rFont val="Arial"/>
        <family val="2"/>
      </rPr>
      <t>8</t>
    </r>
  </si>
  <si>
    <r>
      <t>C</t>
    </r>
    <r>
      <rPr>
        <vertAlign val="subscript"/>
        <sz val="9"/>
        <color theme="1"/>
        <rFont val="Arial"/>
        <family val="2"/>
      </rPr>
      <t>5</t>
    </r>
    <r>
      <rPr>
        <sz val="9"/>
        <color theme="1"/>
        <rFont val="Arial"/>
        <family val="2"/>
      </rPr>
      <t>F</t>
    </r>
    <r>
      <rPr>
        <vertAlign val="subscript"/>
        <sz val="9"/>
        <color theme="1"/>
        <rFont val="Arial"/>
        <family val="2"/>
      </rPr>
      <t>12</t>
    </r>
  </si>
  <si>
    <r>
      <t>C</t>
    </r>
    <r>
      <rPr>
        <vertAlign val="subscript"/>
        <sz val="9"/>
        <color theme="1"/>
        <rFont val="Arial"/>
        <family val="2"/>
      </rPr>
      <t>6</t>
    </r>
    <r>
      <rPr>
        <sz val="9"/>
        <color theme="1"/>
        <rFont val="Arial"/>
        <family val="2"/>
      </rPr>
      <t>F</t>
    </r>
    <r>
      <rPr>
        <vertAlign val="subscript"/>
        <sz val="9"/>
        <color theme="1"/>
        <rFont val="Arial"/>
        <family val="2"/>
      </rPr>
      <t>14</t>
    </r>
  </si>
  <si>
    <t xml:space="preserve">Refrigerants and other </t>
  </si>
  <si>
    <r>
      <t>Global Warming Potential in a 100 year period (kg CO</t>
    </r>
    <r>
      <rPr>
        <b/>
        <vertAlign val="subscript"/>
        <sz val="11"/>
        <color theme="1"/>
        <rFont val="Calibri"/>
        <family val="2"/>
        <scheme val="minor"/>
      </rPr>
      <t>2</t>
    </r>
    <r>
      <rPr>
        <b/>
        <sz val="11"/>
        <color theme="1"/>
        <rFont val="Calibri"/>
        <family val="2"/>
        <scheme val="minor"/>
      </rPr>
      <t>-e) AR5</t>
    </r>
  </si>
  <si>
    <r>
      <t>CCl</t>
    </r>
    <r>
      <rPr>
        <vertAlign val="subscript"/>
        <sz val="11"/>
        <color rgb="FF000000"/>
        <rFont val="Calibri"/>
        <family val="2"/>
        <scheme val="minor"/>
      </rPr>
      <t>3</t>
    </r>
    <r>
      <rPr>
        <sz val="11"/>
        <color rgb="FF000000"/>
        <rFont val="Calibri"/>
        <family val="2"/>
        <scheme val="minor"/>
      </rPr>
      <t>F  </t>
    </r>
  </si>
  <si>
    <t>kg</t>
  </si>
  <si>
    <r>
      <t>CCl</t>
    </r>
    <r>
      <rPr>
        <vertAlign val="subscript"/>
        <sz val="11"/>
        <color rgb="FF000000"/>
        <rFont val="Calibri"/>
        <family val="2"/>
        <scheme val="minor"/>
      </rPr>
      <t>2</t>
    </r>
    <r>
      <rPr>
        <sz val="11"/>
        <color rgb="FF000000"/>
        <rFont val="Calibri"/>
        <family val="2"/>
        <scheme val="minor"/>
      </rPr>
      <t>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</si>
  <si>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3 </t>
    </r>
    <r>
      <rPr>
        <sz val="11"/>
        <color rgb="FF000000"/>
        <rFont val="Calibri"/>
        <family val="2"/>
        <scheme val="minor"/>
      </rPr>
      <t> </t>
    </r>
  </si>
  <si>
    <r>
      <t>CCl</t>
    </r>
    <r>
      <rPr>
        <vertAlign val="subscript"/>
        <sz val="11"/>
        <color rgb="FF000000"/>
        <rFont val="Calibri"/>
        <family val="2"/>
        <scheme val="minor"/>
      </rPr>
      <t>2</t>
    </r>
    <r>
      <rPr>
        <sz val="11"/>
        <color rgb="FF000000"/>
        <rFont val="Calibri"/>
        <family val="2"/>
        <scheme val="minor"/>
      </rPr>
      <t>FCClF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</si>
  <si>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</si>
  <si>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r>
      <t>CClF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</si>
  <si>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CBrF</t>
    </r>
    <r>
      <rPr>
        <vertAlign val="subscript"/>
        <sz val="11"/>
        <color rgb="FF000000"/>
        <rFont val="Calibri"/>
        <family val="2"/>
        <scheme val="minor"/>
      </rPr>
      <t>3 </t>
    </r>
    <r>
      <rPr>
        <sz val="11"/>
        <color rgb="FF000000"/>
        <rFont val="Calibri"/>
        <family val="2"/>
        <scheme val="minor"/>
      </rPr>
      <t> </t>
    </r>
  </si>
  <si>
    <r>
      <t>CBrClF</t>
    </r>
    <r>
      <rPr>
        <vertAlign val="subscript"/>
        <sz val="11"/>
        <color rgb="FF000000"/>
        <rFont val="Calibri"/>
        <family val="2"/>
        <scheme val="minor"/>
      </rPr>
      <t>2 </t>
    </r>
    <r>
      <rPr>
        <sz val="11"/>
        <color rgb="FF000000"/>
        <rFont val="Calibri"/>
        <family val="2"/>
        <scheme val="minor"/>
      </rPr>
      <t> </t>
    </r>
  </si>
  <si>
    <r>
      <t>CBrF</t>
    </r>
    <r>
      <rPr>
        <vertAlign val="subscript"/>
        <sz val="11"/>
        <color rgb="FF000000"/>
        <rFont val="Calibri"/>
        <family val="2"/>
        <scheme val="minor"/>
      </rPr>
      <t>2</t>
    </r>
    <r>
      <rPr>
        <sz val="11"/>
        <color rgb="FF000000"/>
        <rFont val="Calibri"/>
        <family val="2"/>
        <scheme val="minor"/>
      </rPr>
      <t>CBrF</t>
    </r>
    <r>
      <rPr>
        <vertAlign val="subscript"/>
        <sz val="11"/>
        <color rgb="FF000000"/>
        <rFont val="Calibri"/>
        <family val="2"/>
        <scheme val="minor"/>
      </rPr>
      <t>2 </t>
    </r>
    <r>
      <rPr>
        <sz val="11"/>
        <color rgb="FF000000"/>
        <rFont val="Calibri"/>
        <family val="2"/>
        <scheme val="minor"/>
      </rPr>
      <t> </t>
    </r>
  </si>
  <si>
    <r>
      <t>CCl</t>
    </r>
    <r>
      <rPr>
        <vertAlign val="subscript"/>
        <sz val="11"/>
        <color rgb="FF000000"/>
        <rFont val="Calibri"/>
        <family val="2"/>
        <scheme val="minor"/>
      </rPr>
      <t>4 </t>
    </r>
    <r>
      <rPr>
        <sz val="11"/>
        <color rgb="FF000000"/>
        <rFont val="Calibri"/>
        <family val="2"/>
        <scheme val="minor"/>
      </rPr>
      <t> </t>
    </r>
  </si>
  <si>
    <r>
      <t>CH</t>
    </r>
    <r>
      <rPr>
        <vertAlign val="subscript"/>
        <sz val="11"/>
        <color rgb="FF000000"/>
        <rFont val="Calibri"/>
        <family val="2"/>
        <scheme val="minor"/>
      </rPr>
      <t>3</t>
    </r>
    <r>
      <rPr>
        <sz val="11"/>
        <color rgb="FF000000"/>
        <rFont val="Calibri"/>
        <family val="2"/>
        <scheme val="minor"/>
      </rPr>
      <t>Br  </t>
    </r>
  </si>
  <si>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3 </t>
    </r>
    <r>
      <rPr>
        <sz val="11"/>
        <color rgb="FF000000"/>
        <rFont val="Calibri"/>
        <family val="2"/>
        <scheme val="minor"/>
      </rPr>
      <t> </t>
    </r>
  </si>
  <si>
    <t>HCFC-22</t>
  </si>
  <si>
    <r>
      <t>CHClF</t>
    </r>
    <r>
      <rPr>
        <vertAlign val="subscript"/>
        <sz val="11"/>
        <color rgb="FF000000"/>
        <rFont val="Calibri"/>
        <family val="2"/>
        <scheme val="minor"/>
      </rPr>
      <t>2 </t>
    </r>
    <r>
      <rPr>
        <sz val="11"/>
        <color rgb="FF000000"/>
        <rFont val="Calibri"/>
        <family val="2"/>
        <scheme val="minor"/>
      </rPr>
      <t> </t>
    </r>
  </si>
  <si>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</si>
  <si>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CHClFCF</t>
    </r>
    <r>
      <rPr>
        <vertAlign val="subscript"/>
        <sz val="11"/>
        <color rgb="FF000000"/>
        <rFont val="Calibri"/>
        <family val="2"/>
        <scheme val="minor"/>
      </rPr>
      <t>3 </t>
    </r>
    <r>
      <rPr>
        <sz val="11"/>
        <color rgb="FF000000"/>
        <rFont val="Calibri"/>
        <family val="2"/>
        <scheme val="minor"/>
      </rPr>
      <t> </t>
    </r>
  </si>
  <si>
    <r>
      <t>CH</t>
    </r>
    <r>
      <rPr>
        <vertAlign val="subscript"/>
        <sz val="11"/>
        <color rgb="FF000000"/>
        <rFont val="Calibri"/>
        <family val="2"/>
        <scheme val="minor"/>
      </rPr>
      <t>3</t>
    </r>
    <r>
      <rPr>
        <sz val="11"/>
        <color rgb="FF000000"/>
        <rFont val="Calibri"/>
        <family val="2"/>
        <scheme val="minor"/>
      </rPr>
      <t>CCl</t>
    </r>
    <r>
      <rPr>
        <vertAlign val="subscript"/>
        <sz val="11"/>
        <color rgb="FF000000"/>
        <rFont val="Calibri"/>
        <family val="2"/>
        <scheme val="minor"/>
      </rPr>
      <t>2</t>
    </r>
    <r>
      <rPr>
        <sz val="11"/>
        <color rgb="FF000000"/>
        <rFont val="Calibri"/>
        <family val="2"/>
        <scheme val="minor"/>
      </rPr>
      <t>F  </t>
    </r>
  </si>
  <si>
    <r>
      <t>CH</t>
    </r>
    <r>
      <rPr>
        <vertAlign val="subscript"/>
        <sz val="11"/>
        <color rgb="FF000000"/>
        <rFont val="Calibri"/>
        <family val="2"/>
        <scheme val="minor"/>
      </rPr>
      <t>3</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</si>
  <si>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r>
      <t>CHCl</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2</t>
    </r>
    <r>
      <rPr>
        <sz val="11"/>
        <color rgb="FF000000"/>
        <rFont val="Calibri"/>
        <family val="2"/>
        <scheme val="minor"/>
      </rPr>
      <t>CF</t>
    </r>
    <r>
      <rPr>
        <vertAlign val="subscript"/>
        <sz val="11"/>
        <color rgb="FF000000"/>
        <rFont val="Calibri"/>
        <family val="2"/>
        <scheme val="minor"/>
      </rPr>
      <t>3 </t>
    </r>
    <r>
      <rPr>
        <sz val="11"/>
        <color rgb="FF000000"/>
        <rFont val="Calibri"/>
        <family val="2"/>
        <scheme val="minor"/>
      </rPr>
      <t> </t>
    </r>
  </si>
  <si>
    <r>
      <t>CHClFCF</t>
    </r>
    <r>
      <rPr>
        <vertAlign val="subscript"/>
        <sz val="11"/>
        <color rgb="FF000000"/>
        <rFont val="Calibri"/>
        <family val="2"/>
        <scheme val="minor"/>
      </rPr>
      <t>2</t>
    </r>
    <r>
      <rPr>
        <sz val="11"/>
        <color rgb="FF000000"/>
        <rFont val="Calibri"/>
        <family val="2"/>
        <scheme val="minor"/>
      </rPr>
      <t>CClF</t>
    </r>
    <r>
      <rPr>
        <vertAlign val="subscript"/>
        <sz val="11"/>
        <color rgb="FF000000"/>
        <rFont val="Calibri"/>
        <family val="2"/>
        <scheme val="minor"/>
      </rPr>
      <t>2 </t>
    </r>
    <r>
      <rPr>
        <sz val="11"/>
        <color rgb="FF000000"/>
        <rFont val="Calibri"/>
        <family val="2"/>
        <scheme val="minor"/>
      </rPr>
      <t> </t>
    </r>
  </si>
  <si>
    <t>Sulphur hexafluoride  </t>
  </si>
  <si>
    <r>
      <t>SF</t>
    </r>
    <r>
      <rPr>
        <vertAlign val="subscript"/>
        <sz val="11"/>
        <color rgb="FF000000"/>
        <rFont val="Calibri"/>
        <family val="2"/>
        <scheme val="minor"/>
      </rPr>
      <t>6 </t>
    </r>
    <r>
      <rPr>
        <sz val="11"/>
        <color rgb="FF000000"/>
        <rFont val="Calibri"/>
        <family val="2"/>
        <scheme val="minor"/>
      </rPr>
      <t> </t>
    </r>
  </si>
  <si>
    <t>Nitrogen trifluoride  </t>
  </si>
  <si>
    <r>
      <t>NF</t>
    </r>
    <r>
      <rPr>
        <vertAlign val="subscript"/>
        <sz val="11"/>
        <color rgb="FF000000"/>
        <rFont val="Calibri"/>
        <family val="2"/>
        <scheme val="minor"/>
      </rPr>
      <t>3 </t>
    </r>
    <r>
      <rPr>
        <sz val="11"/>
        <color rgb="FF000000"/>
        <rFont val="Calibri"/>
        <family val="2"/>
        <scheme val="minor"/>
      </rPr>
      <t> </t>
    </r>
  </si>
  <si>
    <t>Trifluoromethyl sulphur pentafluoride </t>
  </si>
  <si>
    <r>
      <t>Fluorinated ethers </t>
    </r>
    <r>
      <rPr>
        <sz val="8"/>
        <color rgb="FF0C3086"/>
        <rFont val="Arial"/>
        <family val="2"/>
      </rPr>
      <t> </t>
    </r>
  </si>
  <si>
    <t>HFE-125  </t>
  </si>
  <si>
    <t>CHF2OCF3</t>
  </si>
  <si>
    <t>HFE-134  </t>
  </si>
  <si>
    <t>CHF2OCHF2</t>
  </si>
  <si>
    <t>HFE-143a  </t>
  </si>
  <si>
    <t>HCFE-235da2  </t>
  </si>
  <si>
    <t>HFE-245cb2  </t>
  </si>
  <si>
    <t>HFE-245fa2  </t>
  </si>
  <si>
    <t>HFE-254cb2  </t>
  </si>
  <si>
    <t>HFE-347mcc3  </t>
  </si>
  <si>
    <t>HFE-347pcf2  </t>
  </si>
  <si>
    <t>HFE-356pcc3  </t>
  </si>
  <si>
    <t>HFE-449sl (HFE-7100)  </t>
  </si>
  <si>
    <t>HFE-569sf2 (HFE-7200)  </t>
  </si>
  <si>
    <t>HFE-43-10pccc124 (H-Galden 1040x)  </t>
  </si>
  <si>
    <t>HFE-236ca12 (HG-10)  </t>
  </si>
  <si>
    <t>HFE-338pcc13 (HG-01)  </t>
  </si>
  <si>
    <r>
      <t>Perfluoropolyethers</t>
    </r>
    <r>
      <rPr>
        <sz val="8"/>
        <color rgb="FF0C3086"/>
        <rFont val="Arial"/>
        <family val="2"/>
      </rPr>
      <t>  </t>
    </r>
  </si>
  <si>
    <t>PFPMIE  </t>
  </si>
  <si>
    <r>
      <t>Hydrocarbons and other compounds – Direct Effects </t>
    </r>
    <r>
      <rPr>
        <sz val="8"/>
        <color rgb="FF0C3086"/>
        <rFont val="Arial"/>
        <family val="2"/>
      </rPr>
      <t> </t>
    </r>
  </si>
  <si>
    <t>Dimethylether  </t>
  </si>
  <si>
    <t>Methylene chloride  </t>
  </si>
  <si>
    <t>Methyl chloride  </t>
  </si>
  <si>
    <t>Halon -1201</t>
  </si>
  <si>
    <t>Refrigerant blends: Zeotropes</t>
  </si>
  <si>
    <t xml:space="preserve">ASHRAE Refrigerant designation </t>
  </si>
  <si>
    <t xml:space="preserve">Mix (mass %) </t>
  </si>
  <si>
    <t>GWP (calculated)</t>
  </si>
  <si>
    <t>404A</t>
  </si>
  <si>
    <t>R-125/143a/134a (44.0/52.0/4.0)</t>
  </si>
  <si>
    <t>406A</t>
  </si>
  <si>
    <t>R-22/600a/142b (55.0/4.0/41.0)</t>
  </si>
  <si>
    <t>407C</t>
  </si>
  <si>
    <t>R-32/125/134a (23.0/25.0/52.0)</t>
  </si>
  <si>
    <t>407F</t>
  </si>
  <si>
    <t>R-32/125/134a (30.0/30.0/40.0)</t>
  </si>
  <si>
    <t>408A</t>
  </si>
  <si>
    <t>R-125/143a/22 (7.0/46.0/47.0)</t>
  </si>
  <si>
    <t>409A</t>
  </si>
  <si>
    <t>R-22/124/142b (60.0/25.0/15.0)</t>
  </si>
  <si>
    <t>409B</t>
  </si>
  <si>
    <t>R-22/124/142b (65.0/25.0/10.0)</t>
  </si>
  <si>
    <t>410A</t>
  </si>
  <si>
    <t>R-32/125 (50.0/50.0)</t>
  </si>
  <si>
    <t>436A</t>
  </si>
  <si>
    <t>R-290/600a (56.0/44.0)</t>
  </si>
  <si>
    <t>436B</t>
  </si>
  <si>
    <t>R-290/600a (52.0/48.0)</t>
  </si>
  <si>
    <t>Refrigerant blends: Azeotropes</t>
  </si>
  <si>
    <t>507A</t>
  </si>
  <si>
    <t>R-125/143a (50.0/50.0)</t>
  </si>
  <si>
    <t>Medical gases</t>
  </si>
  <si>
    <t>HFE-347mmz1 (Sevoflurane)*</t>
  </si>
  <si>
    <r>
      <t>(CF</t>
    </r>
    <r>
      <rPr>
        <vertAlign val="subscript"/>
        <sz val="11"/>
        <rFont val="Calibri"/>
        <family val="2"/>
        <scheme val="minor"/>
      </rPr>
      <t>3</t>
    </r>
    <r>
      <rPr>
        <sz val="11"/>
        <rFont val="Calibri"/>
        <family val="2"/>
        <scheme val="minor"/>
      </rPr>
      <t>)</t>
    </r>
    <r>
      <rPr>
        <vertAlign val="subscript"/>
        <sz val="11"/>
        <rFont val="Calibri"/>
        <family val="2"/>
        <scheme val="minor"/>
      </rPr>
      <t>2</t>
    </r>
    <r>
      <rPr>
        <sz val="11"/>
        <rFont val="Calibri"/>
        <family val="2"/>
        <scheme val="minor"/>
      </rPr>
      <t>CHOCH</t>
    </r>
    <r>
      <rPr>
        <vertAlign val="subscript"/>
        <sz val="11"/>
        <rFont val="Calibri"/>
        <family val="2"/>
        <scheme val="minor"/>
      </rPr>
      <t>2</t>
    </r>
    <r>
      <rPr>
        <sz val="11"/>
        <rFont val="Calibri"/>
        <family val="2"/>
        <scheme val="minor"/>
      </rPr>
      <t>F</t>
    </r>
  </si>
  <si>
    <t>HCFE-235da2 (Isoflurane)</t>
  </si>
  <si>
    <r>
      <t>CHF</t>
    </r>
    <r>
      <rPr>
        <vertAlign val="subscript"/>
        <sz val="11"/>
        <rFont val="Calibri"/>
        <family val="2"/>
        <scheme val="minor"/>
      </rPr>
      <t>2</t>
    </r>
    <r>
      <rPr>
        <sz val="11"/>
        <rFont val="Calibri"/>
        <family val="2"/>
        <scheme val="minor"/>
      </rPr>
      <t>OCHClCF</t>
    </r>
    <r>
      <rPr>
        <vertAlign val="subscript"/>
        <sz val="11"/>
        <rFont val="Calibri"/>
        <family val="2"/>
        <scheme val="minor"/>
      </rPr>
      <t>3</t>
    </r>
  </si>
  <si>
    <t>HFE-236ea2 (Desflurane)*</t>
  </si>
  <si>
    <r>
      <t>CHF</t>
    </r>
    <r>
      <rPr>
        <vertAlign val="subscript"/>
        <sz val="11"/>
        <rFont val="Calibri"/>
        <family val="2"/>
        <scheme val="minor"/>
      </rPr>
      <t>2</t>
    </r>
    <r>
      <rPr>
        <sz val="11"/>
        <rFont val="Calibri"/>
        <family val="2"/>
        <scheme val="minor"/>
      </rPr>
      <t>OCHFCF</t>
    </r>
    <r>
      <rPr>
        <vertAlign val="subscript"/>
        <sz val="11"/>
        <rFont val="Calibri"/>
        <family val="2"/>
        <scheme val="minor"/>
      </rPr>
      <t>3</t>
    </r>
  </si>
  <si>
    <t>Medical gas blends</t>
  </si>
  <si>
    <t>Entonox</t>
  </si>
  <si>
    <r>
      <t>N</t>
    </r>
    <r>
      <rPr>
        <vertAlign val="subscript"/>
        <sz val="11"/>
        <rFont val="Calibri"/>
        <family val="2"/>
        <scheme val="minor"/>
      </rPr>
      <t>2</t>
    </r>
    <r>
      <rPr>
        <sz val="11"/>
        <rFont val="Calibri"/>
        <family val="2"/>
        <scheme val="minor"/>
      </rPr>
      <t>O/O</t>
    </r>
    <r>
      <rPr>
        <vertAlign val="subscript"/>
        <sz val="11"/>
        <rFont val="Calibri"/>
        <family val="2"/>
        <scheme val="minor"/>
      </rPr>
      <t>2</t>
    </r>
    <r>
      <rPr>
        <sz val="11"/>
        <rFont val="Calibri"/>
        <family val="2"/>
        <scheme val="minor"/>
      </rPr>
      <t xml:space="preserve"> (50.0/50.0)</t>
    </r>
  </si>
  <si>
    <t>Table 3 Direct (scope 1) and Indirect (scope 3) emission factors for the combustion of solid fuels - including certain coal based products</t>
  </si>
  <si>
    <t>(GJ/t)</t>
  </si>
  <si>
    <t xml:space="preserve">Bituminous coal </t>
  </si>
  <si>
    <t>updated through IPCC, Stationary Combustion for Agriculture; GEMIS 5.1</t>
  </si>
  <si>
    <t>Sub-bituminous coal</t>
  </si>
  <si>
    <t>Anthracite</t>
  </si>
  <si>
    <t>Brown coal (lignite)</t>
  </si>
  <si>
    <t>Coking coal</t>
  </si>
  <si>
    <t>Coal briquettes</t>
  </si>
  <si>
    <t>Coal coke</t>
  </si>
  <si>
    <t>Coal tar</t>
  </si>
  <si>
    <t>Solid fossil fuels other than those mentioned in the items above</t>
  </si>
  <si>
    <t>Industrial materials that are derived from fossil fuels, if recycled and combusted to produce heat or electricity</t>
  </si>
  <si>
    <t xml:space="preserve">Passenger car tyres, if recycled and combusted to produce heat or electricity </t>
  </si>
  <si>
    <t xml:space="preserve">Truck and off-road tyres, if recycled and combusted to produce heat or electricity </t>
  </si>
  <si>
    <t>Non‑biomass municipal materials, if combusted to produce heat or electricity</t>
  </si>
  <si>
    <t>Dry wood</t>
  </si>
  <si>
    <t>Green and air dried wood</t>
  </si>
  <si>
    <t xml:space="preserve">Sulphite lyes </t>
  </si>
  <si>
    <t>Bagasse</t>
  </si>
  <si>
    <t>Biomass, municipal and industrial materials, if combusted to produce heat or electricity</t>
  </si>
  <si>
    <t>Charcoal</t>
  </si>
  <si>
    <t>Primary solid biomass fuels other than those mentioned in the items above</t>
  </si>
  <si>
    <t>Emissions Factor
metric tons CO2/ha)</t>
  </si>
  <si>
    <t>Cropland</t>
  </si>
  <si>
    <t>adapted through new insights through Poeplau et al 2011</t>
  </si>
  <si>
    <t>Source -OIV COLLECTIVE EXPERTISE: METHODOLOGICAL RECOMMENDATIONS FOR ACCOUNTING FOR GHG BALANCE IN THE VITIVINICULTURAL SECTOR</t>
  </si>
  <si>
    <t>Table 1 Indirect (scope 2 and scope 3) emission factors from consumption of purchased or acquired electricity: Location based approach</t>
  </si>
  <si>
    <t>State, Territory or grid description</t>
  </si>
  <si>
    <t>Scope 2 Emission Factors</t>
  </si>
  <si>
    <t>Scope 3 Emission Factors</t>
  </si>
  <si>
    <r>
      <t>(kg CO</t>
    </r>
    <r>
      <rPr>
        <b/>
        <vertAlign val="subscript"/>
        <sz val="11"/>
        <color theme="1"/>
        <rFont val="Calibri"/>
        <family val="2"/>
        <scheme val="minor"/>
      </rPr>
      <t>2</t>
    </r>
    <r>
      <rPr>
        <b/>
        <sz val="11"/>
        <color theme="1"/>
        <rFont val="Calibri"/>
        <family val="2"/>
        <scheme val="minor"/>
      </rPr>
      <t>-e/kWh)</t>
    </r>
  </si>
  <si>
    <r>
      <t>(kg CO</t>
    </r>
    <r>
      <rPr>
        <b/>
        <vertAlign val="subscript"/>
        <sz val="11"/>
        <color theme="1"/>
        <rFont val="Calibri"/>
        <family val="2"/>
        <scheme val="minor"/>
      </rPr>
      <t>2</t>
    </r>
    <r>
      <rPr>
        <b/>
        <sz val="11"/>
        <color theme="1"/>
        <rFont val="Calibri"/>
        <family val="2"/>
        <scheme val="minor"/>
      </rPr>
      <t>-e/GJ)</t>
    </r>
  </si>
  <si>
    <t>Sources Scope 2</t>
  </si>
  <si>
    <t>Sources Scope 3</t>
  </si>
  <si>
    <t>Chile SEN 2018</t>
  </si>
  <si>
    <t>https://energia.gob.cl/indicadores-ambientales-factor-de-emisiones-gei-del-sistema-electrico-nacional</t>
  </si>
  <si>
    <t>IEA 2022, LifeCylce Upstream</t>
  </si>
  <si>
    <t>updated through National Inventories and IEA Database</t>
  </si>
  <si>
    <t>Argentina 2022</t>
  </si>
  <si>
    <t>https://www.argentina.gob.ar/inv/vinos/estadisticas/superficie/anuarios</t>
  </si>
  <si>
    <t>B2G_2019_Argentina.pdf (climate-transparency.org)</t>
  </si>
  <si>
    <t>Datos Argentina - Cálculo del Factor de Emisión de CO2 de la Red Argentina de Energía Eléctrica</t>
  </si>
  <si>
    <t>https://namasenergia.minem.gob.pe/Content/fileman/Uploads/eficienciaenergetica/menueficiencia/Factores%20de%20emisi%C3%B3n%20nacionales%20por%20consumos%20de%20electricidad.pdf</t>
  </si>
  <si>
    <t>IEA 2021 LifeCylce Upstream</t>
  </si>
  <si>
    <t>Chile SIC (Sistema Interconectado Central, Central Region, 2017)</t>
  </si>
  <si>
    <t>Factores de Emisión – Energía Abierta | Comisión Nacional de Energía (energiaabierta.cl)</t>
  </si>
  <si>
    <t>Chile SEN (Sistema Eléctrico Nacional, National Mix, 2023)</t>
  </si>
  <si>
    <t>Chile SING (Sistema Interconectado del Norte Grande, Northern Region, 2017)</t>
  </si>
  <si>
    <t>No differences in a location or market based approached for electricity was identified for the Argentina/Chile</t>
  </si>
  <si>
    <t>ROAD Freighting goods in South America</t>
  </si>
  <si>
    <t>Emission source</t>
  </si>
  <si>
    <r>
      <t>kg CO</t>
    </r>
    <r>
      <rPr>
        <b/>
        <vertAlign val="subscript"/>
        <sz val="11"/>
        <rFont val="Calibri"/>
        <family val="2"/>
        <scheme val="minor"/>
      </rPr>
      <t>2</t>
    </r>
    <r>
      <rPr>
        <b/>
        <sz val="11"/>
        <rFont val="Calibri"/>
        <family val="2"/>
        <scheme val="minor"/>
      </rPr>
      <t>-e</t>
    </r>
  </si>
  <si>
    <r>
      <t>CO</t>
    </r>
    <r>
      <rPr>
        <vertAlign val="subscript"/>
        <sz val="11"/>
        <rFont val="Calibri"/>
        <family val="2"/>
        <scheme val="minor"/>
      </rPr>
      <t>2</t>
    </r>
    <r>
      <rPr>
        <b/>
        <sz val="11"/>
        <rFont val="Calibri"/>
        <family val="2"/>
        <scheme val="minor"/>
      </rPr>
      <t xml:space="preserve"> (kg CO</t>
    </r>
    <r>
      <rPr>
        <b/>
        <vertAlign val="subscript"/>
        <sz val="11"/>
        <rFont val="Calibri"/>
        <family val="2"/>
        <scheme val="minor"/>
      </rPr>
      <t>2</t>
    </r>
    <r>
      <rPr>
        <b/>
        <sz val="11"/>
        <rFont val="Calibri"/>
        <family val="2"/>
        <scheme val="minor"/>
      </rPr>
      <t>)</t>
    </r>
  </si>
  <si>
    <r>
      <t>CH</t>
    </r>
    <r>
      <rPr>
        <vertAlign val="subscript"/>
        <sz val="11"/>
        <rFont val="Calibri"/>
        <family val="2"/>
        <scheme val="minor"/>
      </rPr>
      <t>4</t>
    </r>
    <r>
      <rPr>
        <b/>
        <sz val="11"/>
        <rFont val="Calibri"/>
        <family val="2"/>
        <scheme val="minor"/>
      </rPr>
      <t xml:space="preserve"> (kg CO</t>
    </r>
    <r>
      <rPr>
        <b/>
        <vertAlign val="subscript"/>
        <sz val="11"/>
        <rFont val="Calibri"/>
        <family val="2"/>
        <scheme val="minor"/>
      </rPr>
      <t>2</t>
    </r>
    <r>
      <rPr>
        <b/>
        <sz val="11"/>
        <rFont val="Calibri"/>
        <family val="2"/>
        <scheme val="minor"/>
      </rPr>
      <t>-e)</t>
    </r>
  </si>
  <si>
    <r>
      <t>N</t>
    </r>
    <r>
      <rPr>
        <b/>
        <vertAlign val="subscript"/>
        <sz val="11"/>
        <rFont val="Calibri"/>
        <family val="2"/>
        <scheme val="minor"/>
      </rPr>
      <t>2</t>
    </r>
    <r>
      <rPr>
        <b/>
        <sz val="11"/>
        <rFont val="Calibri"/>
        <family val="2"/>
        <scheme val="minor"/>
      </rPr>
      <t>O (kg CO</t>
    </r>
    <r>
      <rPr>
        <b/>
        <vertAlign val="subscript"/>
        <sz val="11"/>
        <rFont val="Calibri"/>
        <family val="2"/>
        <scheme val="minor"/>
      </rPr>
      <t>2</t>
    </r>
    <r>
      <rPr>
        <b/>
        <sz val="11"/>
        <rFont val="Calibri"/>
        <family val="2"/>
        <scheme val="minor"/>
      </rPr>
      <t>-e)</t>
    </r>
  </si>
  <si>
    <t xml:space="preserve">Uncertainties </t>
  </si>
  <si>
    <t>Assumptions</t>
  </si>
  <si>
    <t>Long-haul heavy truck</t>
  </si>
  <si>
    <t>ton.km</t>
  </si>
  <si>
    <t>Assumed majority of long-haul heavy trucks are diesel</t>
  </si>
  <si>
    <t>in accordance to Defra, IPCC</t>
  </si>
  <si>
    <t>Urban delivery heavy truck</t>
  </si>
  <si>
    <t>Assumed majority of urban delivery heavy trucks are diesel</t>
  </si>
  <si>
    <t>Truck 7,5-16t, Euro 5</t>
  </si>
  <si>
    <t>Medium Trucks</t>
  </si>
  <si>
    <t>Using motor vehicle register, 79% of goods vans/ trucks and utility vehicles are diesel and therefore it is assumed that this figure is for diesel vehicles.</t>
  </si>
  <si>
    <t>updated through EcoInvent 3.10.</t>
  </si>
  <si>
    <t>Truck 16-32t, Euro 5</t>
  </si>
  <si>
    <t>Heavy Trucks</t>
  </si>
  <si>
    <t>Road freight emission factors for Light commercial vehicles</t>
  </si>
  <si>
    <t>Pre 2010 Fleet</t>
  </si>
  <si>
    <t>2010 - 2015 Fleet</t>
  </si>
  <si>
    <t>Post 2015 Fleet</t>
  </si>
  <si>
    <t>&lt;1350 cc</t>
  </si>
  <si>
    <t>km</t>
  </si>
  <si>
    <t>1350 - &lt;1600 cc</t>
  </si>
  <si>
    <t>1600 -&lt;2000 cc</t>
  </si>
  <si>
    <t>2000 - &lt;3000 cc</t>
  </si>
  <si>
    <t>≥3000 cc</t>
  </si>
  <si>
    <t xml:space="preserve">Diesel </t>
  </si>
  <si>
    <t xml:space="preserve">Diesel hybrid </t>
  </si>
  <si>
    <t>Petrol PHEV</t>
  </si>
  <si>
    <t>Electricity : petrol PHEV</t>
  </si>
  <si>
    <t>Diesel PHEV</t>
  </si>
  <si>
    <t>Electricity : diesel PHEV</t>
  </si>
  <si>
    <t xml:space="preserve">Electricity : BEV </t>
  </si>
  <si>
    <t>Default freight emission factors for Light commercial vehicles</t>
  </si>
  <si>
    <t>Default (pre-2010)</t>
  </si>
  <si>
    <t>Petrol Hybrid</t>
  </si>
  <si>
    <t>Diesel Hybrid</t>
  </si>
  <si>
    <t>ROAD freight emission factors for Heavy goods vehicles</t>
  </si>
  <si>
    <t xml:space="preserve">HGV diesel </t>
  </si>
  <si>
    <t xml:space="preserve">&lt; 5,000 kg </t>
  </si>
  <si>
    <t xml:space="preserve">5,000 - 7,500 kg </t>
  </si>
  <si>
    <t>7,500 - 10,000 kg</t>
  </si>
  <si>
    <t xml:space="preserve">10,000 - 12,000 kg </t>
  </si>
  <si>
    <t xml:space="preserve">12,000kg - 15,000 kg </t>
  </si>
  <si>
    <t xml:space="preserve">15,000 - 20,000 kg </t>
  </si>
  <si>
    <t xml:space="preserve">20,000 - 25,000 kg </t>
  </si>
  <si>
    <t xml:space="preserve">25,000 - 30,000 kg </t>
  </si>
  <si>
    <t xml:space="preserve">≥ 30,000 kg </t>
  </si>
  <si>
    <t xml:space="preserve">HGV diesel hybrid </t>
  </si>
  <si>
    <t xml:space="preserve">HGV BEV </t>
  </si>
  <si>
    <t>n/a</t>
  </si>
  <si>
    <t>Default (pre-2010 and &lt;7500kg gross vehicle mass)</t>
  </si>
  <si>
    <t>HGV Diesel</t>
  </si>
  <si>
    <t>HGV Diesel Hybrid</t>
  </si>
  <si>
    <t xml:space="preserve">AIR TRAVEL Freight emission factors </t>
  </si>
  <si>
    <t>With radiative forcing multiplier</t>
  </si>
  <si>
    <t>Without radiative forcing multiplier</t>
  </si>
  <si>
    <t>Freight flights</t>
  </si>
  <si>
    <t>passenger.km</t>
  </si>
  <si>
    <t>unknown</t>
  </si>
  <si>
    <t>Outlined in the 2021 UK BEIS</t>
  </si>
  <si>
    <t>Short haul</t>
  </si>
  <si>
    <t xml:space="preserve">Long haul </t>
  </si>
  <si>
    <t xml:space="preserve">SEA TRAVEL Freight emission factors </t>
  </si>
  <si>
    <t>Domestic coastal freight</t>
  </si>
  <si>
    <t>Oil products</t>
  </si>
  <si>
    <t>Unknown</t>
  </si>
  <si>
    <t>Assumed heavy fuel oil is the shipping fuel used</t>
  </si>
  <si>
    <t>Other bulk</t>
  </si>
  <si>
    <t>Container freight</t>
  </si>
  <si>
    <t>International sea travel - adopted from the UK</t>
  </si>
  <si>
    <t>Bulk carrier</t>
  </si>
  <si>
    <t>200,000+ dwt</t>
  </si>
  <si>
    <t>100,000–199,999 dwt</t>
  </si>
  <si>
    <t>60,000–99,999 dwt</t>
  </si>
  <si>
    <t>35,000–59,999 dwt</t>
  </si>
  <si>
    <t>10,000–34,999 dwt</t>
  </si>
  <si>
    <t>0–9999 dwt</t>
  </si>
  <si>
    <t>Average</t>
  </si>
  <si>
    <t>General cargo</t>
  </si>
  <si>
    <t>10,000+ dwt</t>
  </si>
  <si>
    <t>5000–9999 dwt</t>
  </si>
  <si>
    <t>0–4999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</si>
  <si>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</si>
  <si>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</si>
  <si>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</si>
  <si>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</si>
  <si>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</si>
  <si>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</si>
  <si>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</si>
  <si>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</si>
  <si>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</si>
  <si>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</si>
  <si>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</si>
  <si>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</si>
  <si>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</si>
  <si>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</si>
  <si>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</si>
  <si>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</si>
  <si>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</si>
  <si>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</si>
  <si>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</si>
  <si>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t xml:space="preserve">RAIL  freight emission factors </t>
  </si>
  <si>
    <t>Rail Freight</t>
  </si>
  <si>
    <t xml:space="preserve">Rail Freight </t>
  </si>
  <si>
    <t>Gross Carbon Released During Wood Product Manufacturing</t>
  </si>
  <si>
    <t>A</t>
  </si>
  <si>
    <t xml:space="preserve">Based on </t>
  </si>
  <si>
    <t>Biofuel Used During Wood Product Manufacturing</t>
  </si>
  <si>
    <t>B</t>
  </si>
  <si>
    <t>https://www.fpl.fs.fed.us/documnts/pdf2014/fpl_2014_bergman007.pdf</t>
  </si>
  <si>
    <t>Carbon Stored in the Wood Product</t>
  </si>
  <si>
    <t>C</t>
  </si>
  <si>
    <t>Hardwood Lumber Embedded Emissions</t>
  </si>
  <si>
    <t>A + B</t>
  </si>
  <si>
    <t>lbs CO2/product, where product = 12in x 12in x 1in</t>
  </si>
  <si>
    <t>Hardwood Lumber Embedded Emissions (minus Carbon stored in wood)</t>
  </si>
  <si>
    <t>(A + B) - C</t>
  </si>
  <si>
    <t>Emission Factors for most packaging materials from the International Wine Carbon Calculator Protocol, Version 1.2: http://www.wineinstitute.org/files/International%20Wine%20Carbon%20Calculator%20Protocol%20V1.2.pdf</t>
  </si>
  <si>
    <t>Emission Factor for Glass from: U.S. EPA Documentation for Greenhouse Gas Emission and Energy Factors Used in the Waste Reduction Model (WARM)</t>
  </si>
  <si>
    <r>
      <t xml:space="preserve">IWCC Version 1.2 - </t>
    </r>
    <r>
      <rPr>
        <b/>
        <u/>
        <sz val="12"/>
        <color rgb="FFFF0000"/>
        <rFont val="Calibri"/>
        <family val="2"/>
        <scheme val="minor"/>
      </rPr>
      <t>Packaging Emission Factors</t>
    </r>
  </si>
  <si>
    <r>
      <t xml:space="preserve">EPA 2019 WARM Model - </t>
    </r>
    <r>
      <rPr>
        <b/>
        <u/>
        <sz val="12"/>
        <color rgb="FFFF0000"/>
        <rFont val="Calibri"/>
        <family val="2"/>
        <scheme val="minor"/>
      </rPr>
      <t>Glass Bottle Emission Factors</t>
    </r>
  </si>
  <si>
    <t>Additional Packaing Emission Factors</t>
  </si>
  <si>
    <t>Source - EcoInvent 3.10</t>
  </si>
  <si>
    <t>EF (kgCO2-Eq/kg) GWP-100</t>
  </si>
  <si>
    <t>market for graphic paper, 100% recycled (GLO)</t>
  </si>
  <si>
    <t>Wax seals (paraffin)</t>
  </si>
  <si>
    <t>market for paraffin (GLO)</t>
  </si>
  <si>
    <t>See below</t>
  </si>
  <si>
    <t>Emission Factor</t>
  </si>
  <si>
    <t>Emission Factor Recycled Glass Bottles
(CO2mte/short ton)</t>
  </si>
  <si>
    <t>Emission Factor Virgin Glass Bottles
(CO2mte/short ton)</t>
  </si>
  <si>
    <t>EF Virgin Glass Bottle (CO2e/0,75L) - 528g Bottle</t>
  </si>
  <si>
    <t>Recycled Glass Bottle kg CO2e/kg glass</t>
  </si>
  <si>
    <t>Recycled Bordeaux Glass Bottle kg CO2e/0,75 Glass Bottle</t>
  </si>
  <si>
    <t>Bordeaux Glass Bottle kg CO2e/0,75 Glass Bottle</t>
  </si>
  <si>
    <t>Value</t>
  </si>
  <si>
    <t>Case study-based scenario analysis comparing GHG emissions of wine packaging types - ScienceDirect</t>
  </si>
  <si>
    <t>Larsen et al 2009</t>
  </si>
  <si>
    <t>Wine bag in box source/details:</t>
  </si>
  <si>
    <t>2018 study carried out by Gaia Consulting Oy, "Update of wine packaging LCA – Final report"</t>
  </si>
  <si>
    <t>https://www.omsystembolaget.se/globalassets/pdf/hallbarhet/alko-wine-packaging-lca-update_final-report.pdf</t>
  </si>
  <si>
    <t>Emission factor is inclusive of primary production (and upstream transportation) of raw materials, production of energy, and production of both the packaging and closure</t>
  </si>
  <si>
    <t>Study output detailed an emissions factor of 116.1 g CO2e/100 g package</t>
  </si>
  <si>
    <t>Calculation assumptions are noted in the study. Bag-in-box packaging considered cardboard, bag (all materials used to make up the bag), and closure.</t>
  </si>
  <si>
    <t>ecoinvent 3.10 IPCC 2021 GWP100</t>
  </si>
  <si>
    <t>EF (kg CO2e/kg unit)</t>
  </si>
  <si>
    <t>market for kraft paper (RoW)</t>
  </si>
  <si>
    <t>market for aluminium, primary, ingot (RoW)</t>
  </si>
  <si>
    <t>market for polyethylene, high density, granulate (GLO)</t>
  </si>
  <si>
    <t>Solid Waste and Post-Consumer Waste</t>
  </si>
  <si>
    <t>Table 15 Indirect (scope 3) waste emission factors for total waste disposed to landfill by broad waste stream category</t>
  </si>
  <si>
    <t>Waste stream</t>
  </si>
  <si>
    <r>
      <t>Scope 3 emission factor (t CO</t>
    </r>
    <r>
      <rPr>
        <b/>
        <vertAlign val="subscript"/>
        <sz val="11"/>
        <color theme="1"/>
        <rFont val="Calibri"/>
        <family val="2"/>
        <scheme val="minor"/>
      </rPr>
      <t>2</t>
    </r>
    <r>
      <rPr>
        <b/>
        <sz val="11"/>
        <color theme="1"/>
        <rFont val="Calibri"/>
        <family val="2"/>
        <scheme val="minor"/>
      </rPr>
      <t>-e/t)</t>
    </r>
  </si>
  <si>
    <r>
      <t>Volume to mass conversion factor (t/m</t>
    </r>
    <r>
      <rPr>
        <b/>
        <vertAlign val="superscript"/>
        <sz val="11"/>
        <color theme="1"/>
        <rFont val="Calibri"/>
        <family val="2"/>
        <scheme val="minor"/>
      </rPr>
      <t>3</t>
    </r>
    <r>
      <rPr>
        <b/>
        <sz val="11"/>
        <color theme="1"/>
        <rFont val="Calibri"/>
        <family val="2"/>
        <scheme val="minor"/>
      </rPr>
      <t>)</t>
    </r>
  </si>
  <si>
    <t>Glass Recycling Emission Factor 
(metric tons CO2e/short ton material)</t>
  </si>
  <si>
    <t>Glass to Landfill Emission Factor (metric tons CO2e/short ton material)</t>
  </si>
  <si>
    <t>Municipal solid waste, incineration</t>
  </si>
  <si>
    <t>EcoInvent 3.10</t>
  </si>
  <si>
    <t>Municipal solid waste, landfill</t>
  </si>
  <si>
    <t>Commercial and industrial waste</t>
  </si>
  <si>
    <t>Construction and demolition waste</t>
  </si>
  <si>
    <t>Table 14 Waste mix methane conversion factors and emission factors</t>
  </si>
  <si>
    <t>Waste types</t>
  </si>
  <si>
    <t>Food Waste</t>
  </si>
  <si>
    <t>EPA 2023</t>
  </si>
  <si>
    <t>updated through EPA WARM</t>
  </si>
  <si>
    <t>Waste Paperboard, landfill</t>
  </si>
  <si>
    <t>Ecoinvent 3.10 PE</t>
  </si>
  <si>
    <t>updated through EcoInvent</t>
  </si>
  <si>
    <t>Garden and green</t>
  </si>
  <si>
    <t>Textiles</t>
  </si>
  <si>
    <t>EcoInvent 3.10 RoW</t>
  </si>
  <si>
    <t>Sludge</t>
  </si>
  <si>
    <t>Nappies</t>
  </si>
  <si>
    <t xml:space="preserve">Rubber </t>
  </si>
  <si>
    <t>Inert waste (including concrete/metal/plastics/glass), landfill</t>
  </si>
  <si>
    <t>treatment of waste mineral oil, incineration</t>
  </si>
  <si>
    <t>Mixed Metals, landfill</t>
  </si>
  <si>
    <t>Mixed Plastics, landfill</t>
  </si>
  <si>
    <t>treatment of polyethylene, recycling</t>
  </si>
  <si>
    <t>Table 18 Direct emission factors (scope 1) for biological treatment of waste</t>
  </si>
  <si>
    <t xml:space="preserve">Waste treatment type  </t>
  </si>
  <si>
    <r>
      <t>Scope 1 emission factors (t CO</t>
    </r>
    <r>
      <rPr>
        <b/>
        <vertAlign val="subscript"/>
        <sz val="11"/>
        <color theme="1"/>
        <rFont val="Calibri"/>
        <family val="2"/>
        <scheme val="minor"/>
      </rPr>
      <t>2</t>
    </r>
    <r>
      <rPr>
        <b/>
        <sz val="11"/>
        <color theme="1"/>
        <rFont val="Calibri"/>
        <family val="2"/>
        <scheme val="minor"/>
      </rPr>
      <t>-e/t)</t>
    </r>
  </si>
  <si>
    <t xml:space="preserve">Composting </t>
  </si>
  <si>
    <t>EcoInvent 3.10. RoW</t>
  </si>
  <si>
    <t xml:space="preserve">Anaerobic digestion </t>
  </si>
  <si>
    <r>
      <t>Metric Tons CO</t>
    </r>
    <r>
      <rPr>
        <b/>
        <vertAlign val="subscript"/>
        <sz val="10"/>
        <rFont val="Arial"/>
        <family val="2"/>
      </rPr>
      <t>2</t>
    </r>
    <r>
      <rPr>
        <b/>
        <sz val="10"/>
        <rFont val="Arial"/>
        <family val="2"/>
      </rPr>
      <t>e / Short Ton Material</t>
    </r>
  </si>
  <si>
    <r>
      <t>Recycled</t>
    </r>
    <r>
      <rPr>
        <vertAlign val="superscript"/>
        <sz val="10"/>
        <rFont val="Arial"/>
        <family val="2"/>
      </rPr>
      <t>A</t>
    </r>
  </si>
  <si>
    <r>
      <t>Landfilled</t>
    </r>
    <r>
      <rPr>
        <vertAlign val="superscript"/>
        <sz val="10"/>
        <rFont val="Arial"/>
        <family val="2"/>
      </rPr>
      <t>B</t>
    </r>
  </si>
  <si>
    <r>
      <t>Combusted</t>
    </r>
    <r>
      <rPr>
        <vertAlign val="superscript"/>
        <sz val="10"/>
        <rFont val="Arial"/>
        <family val="2"/>
      </rPr>
      <t>C</t>
    </r>
  </si>
  <si>
    <r>
      <t>Composted</t>
    </r>
    <r>
      <rPr>
        <vertAlign val="superscript"/>
        <sz val="10"/>
        <rFont val="Arial"/>
        <family val="2"/>
      </rPr>
      <t>D</t>
    </r>
  </si>
  <si>
    <t>Anaerobically Digested (Dry Digestate with Curing)</t>
  </si>
  <si>
    <t>Anaerobically Digested (Wet  Digestate with Curing)</t>
  </si>
  <si>
    <t>Mixed Recyclables</t>
  </si>
  <si>
    <t>Source: https://www.epa.gov/sites/production/files/2021-04/documents/emission-factors_apr2021.pdf</t>
  </si>
  <si>
    <t>Business Travel, Employee Commuting, and Tasting Room Traffic</t>
  </si>
  <si>
    <t>Petrol or diesel</t>
  </si>
  <si>
    <t>ARS/Liter (nation-wide)</t>
  </si>
  <si>
    <t xml:space="preserve">USD/Liter </t>
  </si>
  <si>
    <t>https://www.globalpetrolprices.com/Argentina/</t>
  </si>
  <si>
    <t>Table 3: Fuel combustion emission factors – liquid fuels including certain petroleum based products for stationary energy purposes</t>
  </si>
  <si>
    <t>Energy content factor</t>
  </si>
  <si>
    <t>Emission factor</t>
  </si>
  <si>
    <t>Emission Factor Combined</t>
  </si>
  <si>
    <t>Fuel Type</t>
  </si>
  <si>
    <r>
      <t>kg CO</t>
    </r>
    <r>
      <rPr>
        <b/>
        <vertAlign val="subscript"/>
        <sz val="10"/>
        <rFont val="Arial"/>
        <family val="2"/>
      </rPr>
      <t>2</t>
    </r>
    <r>
      <rPr>
        <b/>
        <sz val="10"/>
        <rFont val="Arial"/>
        <family val="2"/>
      </rPr>
      <t xml:space="preserve"> per unit</t>
    </r>
  </si>
  <si>
    <t>(GJ/kL unless otherwise indicated)</t>
  </si>
  <si>
    <r>
      <t>kg CO</t>
    </r>
    <r>
      <rPr>
        <b/>
        <vertAlign val="subscript"/>
        <sz val="8"/>
        <color theme="1"/>
        <rFont val="Arial"/>
        <family val="2"/>
      </rPr>
      <t>2</t>
    </r>
    <r>
      <rPr>
        <b/>
        <sz val="8"/>
        <color theme="1"/>
        <rFont val="Arial"/>
        <family val="2"/>
      </rPr>
      <t>‑e/GJ</t>
    </r>
  </si>
  <si>
    <t>Aviation Gasoline</t>
  </si>
  <si>
    <t>Liter</t>
  </si>
  <si>
    <t>(relevant oxidation factors incorporated)</t>
  </si>
  <si>
    <t>Biodiesel (100%)</t>
  </si>
  <si>
    <t>gallon</t>
  </si>
  <si>
    <r>
      <t>CO</t>
    </r>
    <r>
      <rPr>
        <b/>
        <vertAlign val="subscript"/>
        <sz val="8"/>
        <color theme="1"/>
        <rFont val="Arial"/>
        <family val="2"/>
      </rPr>
      <t>2</t>
    </r>
  </si>
  <si>
    <r>
      <t>CH</t>
    </r>
    <r>
      <rPr>
        <b/>
        <vertAlign val="subscript"/>
        <sz val="8"/>
        <color theme="1"/>
        <rFont val="Arial"/>
        <family val="2"/>
      </rPr>
      <t>4</t>
    </r>
  </si>
  <si>
    <r>
      <t>N</t>
    </r>
    <r>
      <rPr>
        <b/>
        <vertAlign val="subscript"/>
        <sz val="8"/>
        <color theme="1"/>
        <rFont val="Arial"/>
        <family val="2"/>
      </rPr>
      <t>2</t>
    </r>
    <r>
      <rPr>
        <b/>
        <sz val="8"/>
        <color theme="1"/>
        <rFont val="Arial"/>
        <family val="2"/>
      </rPr>
      <t>O</t>
    </r>
  </si>
  <si>
    <r>
      <t>CO</t>
    </r>
    <r>
      <rPr>
        <b/>
        <vertAlign val="subscript"/>
        <sz val="8"/>
        <color theme="1"/>
        <rFont val="Arial"/>
        <family val="2"/>
      </rPr>
      <t>2</t>
    </r>
    <r>
      <rPr>
        <b/>
        <sz val="8"/>
        <color theme="1"/>
        <rFont val="Arial"/>
        <family val="2"/>
      </rPr>
      <t>-e</t>
    </r>
  </si>
  <si>
    <t>Compressed Natural Gas (CNG)</t>
  </si>
  <si>
    <t>m3</t>
  </si>
  <si>
    <t>Petroleum based oils (other than petroleum based oil used as fuel), eg lubricants</t>
  </si>
  <si>
    <t>Diesel Fuel</t>
  </si>
  <si>
    <t>Ethanol (100%)</t>
  </si>
  <si>
    <t>updated through IPCC, Stationary Combustion for Agriculture; GEMIS 5.2</t>
  </si>
  <si>
    <t>Kerosene-Type Jet Fuel</t>
  </si>
  <si>
    <t>updated through IPCC, Stationary Combustion for Agriculture; GEMIS 5.3</t>
  </si>
  <si>
    <t xml:space="preserve">Other natural gas liquids </t>
  </si>
  <si>
    <t>Liquefied Natural Gas (LNG)</t>
  </si>
  <si>
    <t>updated through IPCC, Stationary Combustion for Agriculture; GEMIS 5.4</t>
  </si>
  <si>
    <t>Gasoline (other than for use as fuel in an aircraft)</t>
  </si>
  <si>
    <t>Liquefied Petroleum Gases (LPG)</t>
  </si>
  <si>
    <t>updated through IPCC, Stationary Combustion for Agriculture; GEMIS 5.5</t>
  </si>
  <si>
    <t>Gasoline for use as fuel in an aircraft (avgas)</t>
  </si>
  <si>
    <t>Motor Gasoline</t>
  </si>
  <si>
    <t>updated through IPCC, Stationary Combustion for Agriculture; GEMIS 5.6</t>
  </si>
  <si>
    <t>Residual Fuel Oil</t>
  </si>
  <si>
    <t>updated through IPCC, Stationary Combustion for Agriculture; GEMIS 5.7</t>
  </si>
  <si>
    <t>Kerosene for use as fuel in an aircraft (aviation turbine fuel)</t>
  </si>
  <si>
    <t>Source:</t>
  </si>
  <si>
    <t>updated through IPCC, Stationary Combustion for Agriculture; GEMIS 5.8</t>
  </si>
  <si>
    <t>Federal Register EPA; 40 CFR Part 98; e-CFR, (see link below). Table C-1 (78 FR 71950, Nov. 29, 2013, as amended at 81 FR 89252, Dec. 9, 2016)</t>
  </si>
  <si>
    <t>updated through IPCC, Stationary Combustion for Agriculture; GEMIS 5.9</t>
  </si>
  <si>
    <t>Diesel oil</t>
  </si>
  <si>
    <t>https://www.ecfr.gov/current/title-40/chapter-I/subchapter-C/part-98</t>
  </si>
  <si>
    <t>updated through IPCC, Stationary Combustion for Agriculture; GEMIS 5.10</t>
  </si>
  <si>
    <r>
      <rPr>
        <b/>
        <sz val="9"/>
        <rFont val="Arial"/>
        <family val="2"/>
      </rPr>
      <t>Notes:</t>
    </r>
    <r>
      <rPr>
        <sz val="9"/>
        <rFont val="Arial"/>
        <family val="2"/>
      </rPr>
      <t xml:space="preserve"> </t>
    </r>
  </si>
  <si>
    <t>updated through IPCC, Stationary Combustion for Agriculture; GEMIS 5.11</t>
  </si>
  <si>
    <r>
      <t>LNG:  The factor was developed based on the CO</t>
    </r>
    <r>
      <rPr>
        <vertAlign val="subscript"/>
        <sz val="9"/>
        <rFont val="Arial"/>
        <family val="2"/>
      </rPr>
      <t>2</t>
    </r>
    <r>
      <rPr>
        <sz val="9"/>
        <rFont val="Arial"/>
        <family val="2"/>
      </rPr>
      <t xml:space="preserve"> factor for Natural Gas factor and LNG fuel density from GREET1_2022.xlsx Model, Argonne National Laboratory (Fuel_Specs worksheet).</t>
    </r>
  </si>
  <si>
    <t>updated through IPCC, Stationary Combustion for Agriculture; GEMIS 5.12</t>
  </si>
  <si>
    <t>The factors represented in the table above represent combustion emissions only (tank-to-wheel) and do not represent upstream emissions or well-to-wheel emissions.</t>
  </si>
  <si>
    <t>updated through IPCC, Stationary Combustion for Agriculture; GEMIS 5.13</t>
  </si>
  <si>
    <t>Liquefied petroleum gas</t>
  </si>
  <si>
    <t>Conversion Factors for units applied</t>
  </si>
  <si>
    <t>updated through IPCC, Stationary Combustion for Agriculture; GEMIS 5.14</t>
  </si>
  <si>
    <t>updated through IPCC, Stationary Combustion for Agriculture; GEMIS 5.15</t>
  </si>
  <si>
    <t>updated through IPCC, Stationary Combustion for Agriculture; GEMIS 5.16</t>
  </si>
  <si>
    <t>updated through IPCC, Stationary Combustion for Agriculture; GEMIS 5.17</t>
  </si>
  <si>
    <t>updated through IPCC, Stationary Combustion for Agriculture; GEMIS 5.18</t>
  </si>
  <si>
    <t>updated through IPCC, Stationary Combustion for Agriculture; GEMIS 5.19</t>
  </si>
  <si>
    <t xml:space="preserve">Biodiesel </t>
  </si>
  <si>
    <t>updated through IPCC, Stationary Combustion for Agriculture; GEMIS 5.20</t>
  </si>
  <si>
    <t>updated through IPCC, Stationary Combustion for Agriculture; GEMIS 5.21</t>
  </si>
  <si>
    <t>Biofuels other than those mentioned in the items above</t>
  </si>
  <si>
    <t>updated through IPCC, Stationary Combustion for Agriculture; GEMIS 5.22</t>
  </si>
  <si>
    <t>2022 IIN CL.pdf (unfccc.int)</t>
  </si>
  <si>
    <t>V2_2_Ch2_Stationary_Combustion.pdf (iges.or.jp)</t>
  </si>
  <si>
    <t>Scope 1 Emissions Transportation</t>
  </si>
  <si>
    <t xml:space="preserve">  </t>
  </si>
  <si>
    <t xml:space="preserve">Private car medium (2000 - 3000cc) </t>
  </si>
  <si>
    <t>Data updated in accordance to IPCC, Defra</t>
  </si>
  <si>
    <t>Plug -In Hybrid</t>
  </si>
  <si>
    <t>Rental car default (engine size 1600 -&lt;2000cc) assumed to be 2010 -2015 fleet</t>
  </si>
  <si>
    <t>Data in accordance to IPCC, Defra</t>
  </si>
  <si>
    <t>Taxi Travel</t>
  </si>
  <si>
    <t>Taxi travel - distance travelled (taxi is the average between 1600 -&lt;3000 based on MIA data)</t>
  </si>
  <si>
    <t>Taxi travel - dollars spent ($3.20/kilometre)</t>
  </si>
  <si>
    <t>$</t>
  </si>
  <si>
    <t xml:space="preserve">DOMESTIC AIR TRAVEL Passenger emission factors </t>
  </si>
  <si>
    <t>With Radiative Forcing factors</t>
  </si>
  <si>
    <t>Without Radiative Forcing factors</t>
  </si>
  <si>
    <t>Domestic flight</t>
  </si>
  <si>
    <t>National average</t>
  </si>
  <si>
    <t>Jet aircraft</t>
  </si>
  <si>
    <t>Medium aircraft</t>
  </si>
  <si>
    <t>Small aircraft</t>
  </si>
  <si>
    <t xml:space="preserve">INTERNATIONAL AIR TRAVEL Passenger emission factors </t>
  </si>
  <si>
    <t>With RF</t>
  </si>
  <si>
    <t>Without RF</t>
  </si>
  <si>
    <t>Distance</t>
  </si>
  <si>
    <t>Class</t>
  </si>
  <si>
    <t>g/km</t>
  </si>
  <si>
    <t>Short-haul (&lt;3700km)</t>
  </si>
  <si>
    <t>Average passenger</t>
  </si>
  <si>
    <t>Data updated in accordance to Defra 2023</t>
  </si>
  <si>
    <t>Economy class</t>
  </si>
  <si>
    <t>Business class</t>
  </si>
  <si>
    <t>Long-haul (&gt;3700km)</t>
  </si>
  <si>
    <t>Long haul</t>
  </si>
  <si>
    <t>Premium economy class</t>
  </si>
  <si>
    <t>First class</t>
  </si>
  <si>
    <t>International Flights</t>
  </si>
  <si>
    <t>Public transport passenger travel emission factors</t>
  </si>
  <si>
    <t xml:space="preserve"> (based on Wellington)</t>
  </si>
  <si>
    <t>Average Bus</t>
  </si>
  <si>
    <t>Light Passenger Vehicle emission factors</t>
  </si>
  <si>
    <t>CO₂ (kg CO₂e)</t>
  </si>
  <si>
    <t>CH₄ (kg CO₂e)</t>
  </si>
  <si>
    <t>N₂O (kg CO₂e)</t>
  </si>
  <si>
    <t>Petrol vehicle</t>
  </si>
  <si>
    <t>1350–&lt;1600 cc</t>
  </si>
  <si>
    <t>1600–&lt;2000 cc</t>
  </si>
  <si>
    <t>2000–3000 cc</t>
  </si>
  <si>
    <t>Diesel vehicle</t>
  </si>
  <si>
    <t>2000–&lt;3000 cc</t>
  </si>
  <si>
    <t>Petrol hybrid vehicle</t>
  </si>
  <si>
    <t>Diesel Hybrid vehicle</t>
  </si>
  <si>
    <t>PHEV (Petrol) - Petrol consumption</t>
  </si>
  <si>
    <t>PHEV (Petrol) - Electricity consumption</t>
  </si>
  <si>
    <t>PHEV (Diesel) - Diesel consumption</t>
  </si>
  <si>
    <t>PHEV (Diesel) - Electricity consumption</t>
  </si>
  <si>
    <t>Electric vehicle</t>
  </si>
  <si>
    <t>Motorcycle</t>
  </si>
  <si>
    <t>&lt;60cc, petrol</t>
  </si>
  <si>
    <t>≥ 60cc, petrol</t>
  </si>
  <si>
    <t>&lt;60cc, electricity</t>
  </si>
  <si>
    <t>≥ 60cc, electricity</t>
  </si>
  <si>
    <t>Hotel stay emission factor</t>
  </si>
  <si>
    <t>Assumption</t>
  </si>
  <si>
    <t>Uncertainty</t>
  </si>
  <si>
    <t>Hotel stay</t>
  </si>
  <si>
    <t>Room per night</t>
  </si>
  <si>
    <t>See CHSB tool Guidance</t>
  </si>
  <si>
    <t>Source: https://environment.govt.nz/publications/measuring-emissions-a-guide-for-organisations-2023-emission-factors-summary/</t>
  </si>
  <si>
    <t>Rest of the World + South America</t>
  </si>
  <si>
    <t xml:space="preserve">Metric </t>
  </si>
  <si>
    <t>g CO2e / per kg fertilizer</t>
  </si>
  <si>
    <t>(The average of three mean N fertilizer emission factors) Source: A Review of Greenhouse Gas Emission Factors for Fertilizer Production: https://www.researchgate.net/publication/235704822_A_Review_of_Greenhouse_Gas_Emission_Factors_for_Fertiliser_Production)</t>
  </si>
  <si>
    <t>g CO2e / per kg N</t>
  </si>
  <si>
    <t>Source: A Review of Greenhouse Gas Emission Factors for Fertilizer Production: https://www.researchgate.net/publication/235704822_A_Review_of_Greenhouse_Gas_Emission_Factors_for_Fertiliser_Production</t>
  </si>
  <si>
    <t>kg CO2e / per kg N</t>
  </si>
  <si>
    <t>Ammonium Nitrate</t>
  </si>
  <si>
    <t>kg CO2e / per kg fertilizer</t>
  </si>
  <si>
    <t>ecoinvent 3.10, IPCC 2021 (GWP100): "market for lime" (CL, Chile)</t>
  </si>
  <si>
    <t>Inorganic Nitrogen Fertiliser</t>
  </si>
  <si>
    <t>ecoinvent 3.10, IPCC 2021 (GWP100): "market for inorganic nitrogen fertiliser, as N" (CL, Chile)</t>
  </si>
  <si>
    <t>Green Manure</t>
  </si>
  <si>
    <t>market for green manure, organic, until April</t>
  </si>
  <si>
    <t>poultry manure</t>
  </si>
  <si>
    <t>market for poultry manure, dried (GLO)</t>
  </si>
  <si>
    <t>For Unknown Fertilizers:</t>
  </si>
  <si>
    <t>Where sum of N is known, emission factors for US mean N fertilizer production is used (Source: A Review of Greenhouse Gas Emission Factors for Fertilizer Production: https://www.researchgate.net/publication/235704822_A_Review_of_Greenhouse_Gas_Emission_Factors_for_Fertiliser_Production)</t>
  </si>
  <si>
    <t>Where only product sum is know, average emission factor of 3 German studies on fertilizer production emissions are used (Source: A Review of Greenhouse Gas Emission Factors for Fertilizer Production: https://www.researchgate.net/publication/235704822_A_Review_of_Greenhouse_Gas_Emission_Factors_for_Fertiliser_Production)</t>
  </si>
  <si>
    <t>Wine Storage Energy Use</t>
  </si>
  <si>
    <t>TOPIC</t>
  </si>
  <si>
    <t>NUMBER</t>
  </si>
  <si>
    <t>RESOURCE</t>
  </si>
  <si>
    <t>Emission Factor average South America
(kg CO2-e/kwh)</t>
  </si>
  <si>
    <t>Emission Factor average Europe
(kg CO2-e/kwh)</t>
  </si>
  <si>
    <t>Here we consider the electric consume related to an average of bottles sell in the supermarket.</t>
  </si>
  <si>
    <t>SUPERMARKET</t>
  </si>
  <si>
    <t>Consume (MWh/m2 year)</t>
  </si>
  <si>
    <t>0,428</t>
  </si>
  <si>
    <r>
      <t>Taken from the report “</t>
    </r>
    <r>
      <rPr>
        <i/>
        <sz val="11"/>
        <color rgb="FF000000"/>
        <rFont val="Calibri"/>
        <family val="2"/>
        <scheme val="minor"/>
      </rPr>
      <t>Tecnologías de ahorro energético en grandes superficies comerciales</t>
    </r>
    <r>
      <rPr>
        <sz val="11"/>
        <color rgb="FF000000"/>
        <rFont val="Calibri"/>
        <family val="2"/>
        <scheme val="minor"/>
      </rPr>
      <t>”</t>
    </r>
  </si>
  <si>
    <t>(attached in the email, is in Spanish!)</t>
  </si>
  <si>
    <t>Number of bottles 0,75 L/m2</t>
  </si>
  <si>
    <t>Average stay time in the supermarket</t>
  </si>
  <si>
    <t>5 days</t>
  </si>
  <si>
    <t>CALCULATION</t>
  </si>
  <si>
    <t>kWh/botlle = 0,029315068 (consume *1000*average stay time/(365*bot/m2)</t>
  </si>
  <si>
    <r>
      <t>Bottles production</t>
    </r>
    <r>
      <rPr>
        <sz val="11"/>
        <color rgb="FF000000"/>
        <rFont val="Calibri"/>
        <family val="2"/>
        <scheme val="minor"/>
      </rPr>
      <t> * kWh/bottle * electric mix coefficient = Kg CO2</t>
    </r>
  </si>
  <si>
    <t>HOME USE</t>
  </si>
  <si>
    <t>We consider energy used and transport from supermarket at home. Energy is only considered for white wine (1 day in the fridge). For transport we consider the total production of bottles (red and white).</t>
  </si>
  <si>
    <t>Average capacity of the refrigerator:</t>
  </si>
  <si>
    <t>228,5 L </t>
  </si>
  <si>
    <t>calculated as the average of different brands of refrigerators (bosch, siemens, LG…)</t>
  </si>
  <si>
    <t>Consume (kWh/day):</t>
  </si>
  <si>
    <t>0,66</t>
  </si>
  <si>
    <t>Average consume of refrigerator (kWh/year): 242,5 à 242,5/365 days = 0,66</t>
  </si>
  <si>
    <r>
      <t>((</t>
    </r>
    <r>
      <rPr>
        <b/>
        <sz val="11"/>
        <color rgb="FF000000"/>
        <rFont val="Calibri"/>
        <family val="2"/>
        <scheme val="minor"/>
      </rPr>
      <t>White wine volume</t>
    </r>
    <r>
      <rPr>
        <sz val="11"/>
        <color rgb="FF000000"/>
        <rFont val="Calibri"/>
        <family val="2"/>
        <scheme val="minor"/>
      </rPr>
      <t>*kWh/day)/av. capacity)* electric mix coefficient = Kg CO2</t>
    </r>
  </si>
  <si>
    <t>Table 5: Indirect (scope 2) emission factors for consumption of purchased electricity or loss of electricity from the grid</t>
  </si>
  <si>
    <t xml:space="preserve">State or Territory </t>
  </si>
  <si>
    <r>
      <t>kg CO</t>
    </r>
    <r>
      <rPr>
        <b/>
        <vertAlign val="subscript"/>
        <sz val="8"/>
        <color theme="1"/>
        <rFont val="Arial"/>
        <family val="2"/>
      </rPr>
      <t>2</t>
    </r>
    <r>
      <rPr>
        <b/>
        <sz val="8"/>
        <color theme="1"/>
        <rFont val="Arial"/>
        <family val="2"/>
      </rPr>
      <t>‑e/kWh</t>
    </r>
  </si>
  <si>
    <t>Source: https://ember-climate.org/data-catalogue/yearly-electricity-data/</t>
  </si>
  <si>
    <t xml:space="preserve">Winemaking </t>
  </si>
  <si>
    <t>http://www.ipw.co.za/content/pdfs/ghg/eng/International_Wine_Carbon_Calculator_Protocol_V1.2.pdf</t>
  </si>
  <si>
    <t>Cover Cropping</t>
  </si>
  <si>
    <t>Formula: Carbon Soil Increase = [Cropped Hectares (15%*Carbon Content of Crop)]/15 years</t>
  </si>
  <si>
    <t>Formula: CO2mte = Carbon Soil Increase * (44/12)</t>
  </si>
  <si>
    <t>*carbon content equals 50 tons per hectare of row crops</t>
  </si>
  <si>
    <t>Fermentable Sugar (t) = Average Brix/100 * Crush Size (tons) * 0.907 t/ton</t>
  </si>
  <si>
    <t>Average Brix of 23.3 used for calculations</t>
  </si>
  <si>
    <t>Biomass photosynthesis is approximated as total biomass CO2 emissions minus total CO2 sequestration</t>
  </si>
  <si>
    <t>Sequestration occurs in permanent vine structures, fruit cluster, root biomass and partly into ground via shoot pruning decomposition</t>
  </si>
  <si>
    <t>Part of shoot pruning is also emitted as CO2 via decomposition.</t>
  </si>
  <si>
    <t>CO2 emitted during pruning decomposition and CO2 consumed in carbohydrate reserves make up the biomass CO2 emissions.</t>
  </si>
  <si>
    <t>Since the sugar content of the fruit can be measured, and since the other components are known to occupy a certain percentage of vine, total CO2 can be calculated.</t>
  </si>
  <si>
    <r>
      <t xml:space="preserve">Understanding fermentable sugar equations is the first step: </t>
    </r>
    <r>
      <rPr>
        <b/>
        <sz val="11"/>
        <color theme="1"/>
        <rFont val="Calibri"/>
        <family val="2"/>
        <scheme val="minor"/>
      </rPr>
      <t>Fermentable Sugar (t)</t>
    </r>
    <r>
      <rPr>
        <sz val="11"/>
        <color theme="1"/>
        <rFont val="Calibri"/>
        <family val="2"/>
        <scheme val="minor"/>
      </rPr>
      <t xml:space="preserve"> = Average Brix/100 * Crush Size (ton) * 0.907 t/ton</t>
    </r>
  </si>
  <si>
    <r>
      <rPr>
        <b/>
        <sz val="11"/>
        <color theme="1"/>
        <rFont val="Calibri"/>
        <family val="2"/>
        <scheme val="minor"/>
      </rPr>
      <t>Total CO2 sequestered in sugar production (t CO2)</t>
    </r>
    <r>
      <rPr>
        <sz val="11"/>
        <color theme="1"/>
        <rFont val="Calibri"/>
        <family val="2"/>
        <scheme val="minor"/>
      </rPr>
      <t xml:space="preserve"> = Fermentable Sugar (t) * 1.4375 t CO2/1 t sugar</t>
    </r>
  </si>
  <si>
    <r>
      <rPr>
        <b/>
        <sz val="11"/>
        <color theme="1"/>
        <rFont val="Calibri"/>
        <family val="2"/>
        <scheme val="minor"/>
      </rPr>
      <t>Total CO2 consumed in carbohydrate reserves (starch) production</t>
    </r>
    <r>
      <rPr>
        <sz val="11"/>
        <color theme="1"/>
        <rFont val="Calibri"/>
        <family val="2"/>
        <scheme val="minor"/>
      </rPr>
      <t xml:space="preserve"> = 5.2%/10.6% * Total CO2 sequestered in sugar production</t>
    </r>
  </si>
  <si>
    <t>Portion of CO2 consumed in each Vine Component:</t>
  </si>
  <si>
    <t>Sugar content in grapes</t>
  </si>
  <si>
    <t>Carbohydrate Reserves</t>
  </si>
  <si>
    <t>Permanent Structures</t>
  </si>
  <si>
    <t>Current Shoots and Leaves</t>
  </si>
  <si>
    <t>Cluster Biomass</t>
  </si>
  <si>
    <t>Vine respiration</t>
  </si>
  <si>
    <t>Formulas</t>
  </si>
  <si>
    <r>
      <t xml:space="preserve">Total CO2 Consumed in Current Shoots and Leaves (tons) = </t>
    </r>
    <r>
      <rPr>
        <sz val="11"/>
        <color theme="1"/>
        <rFont val="Calibri"/>
        <family val="2"/>
        <scheme val="minor"/>
      </rPr>
      <t>(19.1%/10.6%) * Total CO2 sequestered in sugar production</t>
    </r>
  </si>
  <si>
    <r>
      <t xml:space="preserve">Pruning Decomposition CO2 Emitted (tons) = </t>
    </r>
    <r>
      <rPr>
        <sz val="11"/>
        <color theme="1"/>
        <rFont val="Calibri"/>
        <family val="2"/>
        <scheme val="minor"/>
      </rPr>
      <t>Total consumed in current shoots and leaves * .55</t>
    </r>
  </si>
  <si>
    <r>
      <t xml:space="preserve">Total CO2 Sequestered in Permanent Structures (tons) = </t>
    </r>
    <r>
      <rPr>
        <sz val="11"/>
        <color theme="1"/>
        <rFont val="Calibri"/>
        <family val="2"/>
        <scheme val="minor"/>
      </rPr>
      <t>Total sequestered in sugar production * (2.3%/10.6%)</t>
    </r>
  </si>
  <si>
    <r>
      <t xml:space="preserve">Total CO2 Sequestered in Biomass Clusters (tons) = </t>
    </r>
    <r>
      <rPr>
        <sz val="11"/>
        <color theme="1"/>
        <rFont val="Calibri"/>
        <family val="2"/>
        <scheme val="minor"/>
      </rPr>
      <t>Total sequestered in sugar production * (12.8%/10.6%)</t>
    </r>
  </si>
  <si>
    <r>
      <t xml:space="preserve">Total CO2 Sequestered in Roots (tons) = </t>
    </r>
    <r>
      <rPr>
        <sz val="11"/>
        <color theme="1"/>
        <rFont val="Calibri"/>
        <family val="2"/>
        <scheme val="minor"/>
      </rPr>
      <t>Total sequestered in Shoots and Leaves + Total sequestered in Permanent Structures + Total Sequestered in Biomass Clusters) * .25 * .48</t>
    </r>
  </si>
  <si>
    <r>
      <t xml:space="preserve">Prunings: Total CO2 Sequestered into Ground (tons) = </t>
    </r>
    <r>
      <rPr>
        <sz val="11"/>
        <color theme="1"/>
        <rFont val="Calibri"/>
        <family val="2"/>
        <scheme val="minor"/>
      </rPr>
      <t>Total CO2 consumed in shoots and leaves * .45</t>
    </r>
  </si>
  <si>
    <r>
      <t xml:space="preserve">Total Biomass CO2 Emissions (tons) = </t>
    </r>
    <r>
      <rPr>
        <sz val="11"/>
        <color theme="1"/>
        <rFont val="Calibri"/>
        <family val="2"/>
        <scheme val="minor"/>
      </rPr>
      <t>Total CO2 consumed in Carbohydrate Reserves + Pruning Decomposition CO2 emitted</t>
    </r>
  </si>
  <si>
    <r>
      <t xml:space="preserve">Total CO2 Sequestration (tons) = </t>
    </r>
    <r>
      <rPr>
        <sz val="11"/>
        <color theme="1"/>
        <rFont val="Calibri"/>
        <family val="2"/>
        <scheme val="minor"/>
      </rPr>
      <t>Total sequestration of Permanent Structures + Biomass Clusters + Roots + Ground</t>
    </r>
  </si>
  <si>
    <r>
      <t xml:space="preserve">Total CO2 Balance (tons) = </t>
    </r>
    <r>
      <rPr>
        <sz val="11"/>
        <color theme="1"/>
        <rFont val="Calibri"/>
        <family val="2"/>
        <scheme val="minor"/>
      </rPr>
      <t>Total Emissions - Total Sequestration</t>
    </r>
  </si>
  <si>
    <t>"Emissions factors for compost application from Dr. Jeff Creque of the Marin Carbon Project, which account for the molecular weight of C vs CO2, as well as the impacts of tillage in releasing soil C. He says it’s a sound model to use in lieu of taking actual soil samples." - Julien Gervreau</t>
  </si>
  <si>
    <t xml:space="preserve">Assumptions: </t>
  </si>
  <si>
    <t xml:space="preserve"> - 25% C content assumption for compost is a reasonable low estimate as a general rule of thumb per Carbon Cycle Institute, but use lab analyses if available for site specific carbon content in compost. </t>
  </si>
  <si>
    <t xml:space="preserve"> - Typical compost organic matter content is 30-50%</t>
  </si>
  <si>
    <t xml:space="preserve"> - Assumes that the mass of 1 Ton of Carbon = 3.67 Tons of CO2, based on molecular weight (see EIA link below)</t>
  </si>
  <si>
    <t xml:space="preserve"> - Assumes that 1 US ton = .907 Metric ton</t>
  </si>
  <si>
    <t xml:space="preserve"> - Assumes no losses, which is reasonable if there is no tillage</t>
  </si>
  <si>
    <t xml:space="preserve"> - If alternate row tillage, assume 50% loss of added compost C each year</t>
  </si>
  <si>
    <t>Farm Team Questions</t>
  </si>
  <si>
    <t>vineyards on the south coast would otherwise be deserts - isn't planting vineyards a net carbon sink?</t>
  </si>
  <si>
    <t>incorporate cover crops into the models</t>
  </si>
  <si>
    <t>best time to mix biochar into compost? - as early as possible</t>
  </si>
  <si>
    <t>biochar - need biological assessement of trees</t>
  </si>
  <si>
    <t xml:space="preserve">Links: </t>
  </si>
  <si>
    <t>https://www.eia.gov/tools/faqs/faq.php?id=82&amp;t=11</t>
  </si>
  <si>
    <t>Sub-Category</t>
  </si>
  <si>
    <t>ecoinvent 3.10 Database</t>
  </si>
  <si>
    <t>kgCO2-Eq/kg</t>
  </si>
  <si>
    <t>Purchased municipal water*</t>
  </si>
  <si>
    <t>market for tap water (RoW) (ecoinvent 3.10)</t>
  </si>
  <si>
    <t>* "This activity ends with 1 kg of water at consumer (industrial or household). This dataset includes: - the distribution network - water losses during transmission. This dataset doesn't include - energy used during distribution for additional pressure"</t>
  </si>
  <si>
    <t>Ecoinvent 3.10 Database search</t>
  </si>
  <si>
    <t>board, softwood, raw, air drying to u=20% ()</t>
  </si>
  <si>
    <t>Units</t>
  </si>
  <si>
    <t>Ecoinvent 3.10 Database Emissions Factor</t>
  </si>
  <si>
    <t>kgCO2-Eq/m3</t>
  </si>
  <si>
    <t>updated</t>
  </si>
  <si>
    <r>
      <t>Conversion to kgCO2-Eq/m</t>
    </r>
    <r>
      <rPr>
        <b/>
        <vertAlign val="superscript"/>
        <sz val="11"/>
        <color theme="1"/>
        <rFont val="Calibri"/>
        <family val="2"/>
        <scheme val="minor"/>
      </rPr>
      <t>3</t>
    </r>
    <r>
      <rPr>
        <b/>
        <sz val="11"/>
        <color theme="1"/>
        <rFont val="Calibri"/>
        <family val="2"/>
        <scheme val="minor"/>
      </rPr>
      <t xml:space="preserve"> raw biomass (wood only, no bark)</t>
    </r>
  </si>
  <si>
    <r>
      <t xml:space="preserve">= 24.503 </t>
    </r>
    <r>
      <rPr>
        <sz val="11"/>
        <color theme="1"/>
        <rFont val="Calibri"/>
        <family val="2"/>
        <scheme val="minor"/>
      </rPr>
      <t>kgCO2-Eq/1.04 m3 sawnwood, softwood</t>
    </r>
  </si>
  <si>
    <t>Conversion to kgCO2-Eq/kg board</t>
  </si>
  <si>
    <t>Conversion to kgCO2-Eq/kg raw biomass (wood only, no bark)</t>
  </si>
  <si>
    <t xml:space="preserve"> kgCO2-Eq/kg</t>
  </si>
  <si>
    <t>Additional Data and Conversion Factors from the 2020 FAO/International Tropical Timber Organization/UN report "Forest product conversion factors" (https://www.fao.org/documents/card/en/c/ca7952en):</t>
  </si>
  <si>
    <t>Crop Protection Materials</t>
  </si>
  <si>
    <t>Material name</t>
  </si>
  <si>
    <t>ecoinvent 3.10 Database search</t>
  </si>
  <si>
    <t>kgCO2e/kg</t>
  </si>
  <si>
    <t>market for Mancozeb (RoW)</t>
  </si>
  <si>
    <t>International Values</t>
  </si>
  <si>
    <t>market for sulfur (GLO)</t>
  </si>
  <si>
    <t>market for copper oxide (GLO)</t>
  </si>
  <si>
    <t>market for folpet (GLO)</t>
  </si>
  <si>
    <t>market for fosetyl-Al (GLO)</t>
  </si>
  <si>
    <t>market for potassium sulfate, RoW</t>
  </si>
  <si>
    <t>market for boric acid, anhydrous, powder (GLO)</t>
  </si>
  <si>
    <t>market for glyphosate (GLO)</t>
  </si>
  <si>
    <t>Others</t>
  </si>
  <si>
    <t>market for pesticide, unspecified (GLO)</t>
  </si>
  <si>
    <t>GLO/RoW ecoinvent 3.10</t>
  </si>
  <si>
    <t>kgCO2e/kg2</t>
  </si>
  <si>
    <t>STEEL</t>
  </si>
  <si>
    <t>market for chromium steel removed by milling, average (RoW)</t>
  </si>
  <si>
    <t>STEEL WOOD</t>
  </si>
  <si>
    <t>chromium steel milling, average (RoW)</t>
  </si>
  <si>
    <t>updated through EcoInvent 3.11</t>
  </si>
  <si>
    <t>WOOD</t>
  </si>
  <si>
    <t>beam, hardwood, raw, air drying to u=20% (RoW)</t>
  </si>
  <si>
    <t>Original EF in m3, Hardwood 500kg/m3</t>
  </si>
  <si>
    <t>updated through EcoInvent 3.12</t>
  </si>
  <si>
    <t>WOOD TREATMENT</t>
  </si>
  <si>
    <t>2,5 Liters product for 3x3m</t>
  </si>
  <si>
    <t>updated through EcoInvent 3.13</t>
  </si>
  <si>
    <t>Concrete Block</t>
  </si>
  <si>
    <t>concrete block production - hollow 4MPa (Brazil)</t>
  </si>
  <si>
    <t>updated through EcoInvent 3.14</t>
  </si>
  <si>
    <t>Concrete 35MPa</t>
  </si>
  <si>
    <t>market for concrete, 35MPa</t>
  </si>
  <si>
    <t>kg Co2/m3</t>
  </si>
  <si>
    <t>updated through EcoInvent 3.15</t>
  </si>
  <si>
    <t>EF source</t>
  </si>
  <si>
    <t>kgCO2-E/ton</t>
  </si>
  <si>
    <t>GRANITE</t>
  </si>
  <si>
    <t>Greenhouse_Gases_and_Energy_intensity_of_Granite_R (2019)</t>
  </si>
  <si>
    <t>Item</t>
  </si>
  <si>
    <t>ecoinvent 3.9 Database</t>
  </si>
  <si>
    <t>market for fodder yeast (GLO)</t>
  </si>
  <si>
    <t>market for activated bentonite</t>
  </si>
  <si>
    <t>ECOINVENT 3.10 RoW/GLO</t>
  </si>
  <si>
    <t>O2</t>
  </si>
  <si>
    <t>market for oxygen, liquid (RoW)</t>
  </si>
  <si>
    <t>ALIGAL 3</t>
  </si>
  <si>
    <t>C2H2</t>
  </si>
  <si>
    <t>acetylene produiction (RoW)</t>
  </si>
  <si>
    <t>market for argon, liquid (RoW)</t>
  </si>
  <si>
    <t>market for hydrogen, gaseous, low pressure</t>
  </si>
  <si>
    <t>SO2</t>
  </si>
  <si>
    <t>market for sulfur dioxide, liquid</t>
  </si>
  <si>
    <t>HE</t>
  </si>
  <si>
    <t>market for helium (GLO)</t>
  </si>
  <si>
    <t>N</t>
  </si>
  <si>
    <t>market for nitrogen, liquid (RoW)</t>
  </si>
  <si>
    <t>Inorganic Nitrogen</t>
  </si>
  <si>
    <t>market for inorganic nitrogen fertiliser, as N (CL)</t>
  </si>
  <si>
    <t>NH3</t>
  </si>
  <si>
    <t>market for ammonia, anhydrous, liquid (RLA)</t>
  </si>
  <si>
    <t>Synthetic Air</t>
  </si>
  <si>
    <t>compressed air production, 1000 kPa gauge, &lt;30kW, average generation</t>
  </si>
  <si>
    <t>kg CO2e/m3</t>
  </si>
  <si>
    <t>Water purification products</t>
  </si>
  <si>
    <t>EF (kgCO2-Eq/kg) - GWP100</t>
  </si>
  <si>
    <t>Formic acid</t>
  </si>
  <si>
    <t>market for formic acid (RoW)</t>
  </si>
  <si>
    <t>Defoamer (silicone)</t>
  </si>
  <si>
    <t>market for silicone product (RoW)</t>
  </si>
  <si>
    <t>Ammonium chloride</t>
  </si>
  <si>
    <t>market for ammonium chloride (GLO)</t>
  </si>
  <si>
    <t>Diammonium phosphate</t>
  </si>
  <si>
    <t>market for diammonium phosphate (RoW)</t>
  </si>
  <si>
    <t>Trisodium phosphate</t>
  </si>
  <si>
    <t>market for trisodium phosphate (GLO)</t>
  </si>
  <si>
    <t>Aluminum polychloride</t>
  </si>
  <si>
    <t>aluminium hydroxide production (GLO)</t>
  </si>
  <si>
    <t>Polyelectrolyte</t>
  </si>
  <si>
    <t>electrolyte production, KOH, LiOH additive (GLO)</t>
  </si>
  <si>
    <t>Caustic potash</t>
  </si>
  <si>
    <t>market for potassium hydroxide (GLO)</t>
  </si>
  <si>
    <t>Caustic soda</t>
  </si>
  <si>
    <t>market for neutralising agent, sodium hydroxide-equivalent (RoW)</t>
  </si>
  <si>
    <t>Hydrochloric Acid</t>
  </si>
  <si>
    <t>hydrochloric acid production, from the reaction of hydrogen with chlorine (RoW)</t>
  </si>
  <si>
    <t>hydrogen peroxide production, product in 50% solution state (RoW)</t>
  </si>
  <si>
    <t>Sodium hypochlorite</t>
  </si>
  <si>
    <t>sodium hypochlorite production, product in 15% solution state (RoW)</t>
  </si>
  <si>
    <t>chlorine dioxide production (RoW)</t>
  </si>
  <si>
    <t>Sodium chloride</t>
  </si>
  <si>
    <t>sodium chloride production, brine solution (RoW)</t>
  </si>
  <si>
    <t>urea production (RoW)</t>
  </si>
  <si>
    <t>market for hydrochloric acid, without water, in 30% solution state (ROW)</t>
  </si>
  <si>
    <t>Miscalleneus Products</t>
  </si>
  <si>
    <t>Citric Acid</t>
  </si>
  <si>
    <t>market for citric acid (GLO)</t>
  </si>
  <si>
    <t>Tartric Acid</t>
  </si>
  <si>
    <t>no EF identified, using Citric Acid as substitute</t>
  </si>
  <si>
    <t>Organic Sugar</t>
  </si>
  <si>
    <t>Fairtrade Emission Factsheet 2022, Costa Rica</t>
  </si>
  <si>
    <t>Activated Carbon</t>
  </si>
  <si>
    <t>market for activated carbon, granular (GLO)</t>
  </si>
  <si>
    <t>Wine Enzymes</t>
  </si>
  <si>
    <t>market for enzymes (GLO)</t>
  </si>
  <si>
    <t>Grapes</t>
  </si>
  <si>
    <t>market for grape (GLO)</t>
  </si>
  <si>
    <t>market for grape - GLO - grape | ecoQuery (ecoinvent.org)</t>
  </si>
  <si>
    <t>Wine</t>
  </si>
  <si>
    <t>per 0,75 l of Wine</t>
  </si>
  <si>
    <t>Laca et al 2021</t>
  </si>
  <si>
    <t xml:space="preserve">Comment </t>
  </si>
  <si>
    <t>Link</t>
  </si>
  <si>
    <t>Worldwide suitable</t>
  </si>
  <si>
    <t>AUS 2020 Emissions guide uses the 5th Assesment; reflected throghout the calculator using the 5th assesment</t>
  </si>
  <si>
    <t xml:space="preserve">Exchange Rates (CLP, 2024) </t>
  </si>
  <si>
    <t>Updated</t>
  </si>
  <si>
    <t>CLP to ARS</t>
  </si>
  <si>
    <t>Source: https://www.exchangerates.org.uk/Dollars-to-Chilean-Pesos-currency-conversion-page.html</t>
  </si>
  <si>
    <t>Stationary - updated Efs</t>
  </si>
  <si>
    <t>Scope 1 Factor</t>
  </si>
  <si>
    <t>CH4 Factor</t>
  </si>
  <si>
    <t>N2O Factor</t>
  </si>
  <si>
    <t>Conversion TJ to tonnes</t>
  </si>
  <si>
    <t>Scope 3 Factor</t>
  </si>
  <si>
    <t>kg CO2 per TJ</t>
  </si>
  <si>
    <t>N20</t>
  </si>
  <si>
    <t>kg CO2 per tonne</t>
  </si>
  <si>
    <t>Crude Oil</t>
  </si>
  <si>
    <t xml:space="preserve">Scope 3 </t>
  </si>
  <si>
    <t>kg CO2e per tonne</t>
  </si>
  <si>
    <t>Olimulsion</t>
  </si>
  <si>
    <t>Gaseous Fuels</t>
  </si>
  <si>
    <t>Natural Gas Liquids</t>
  </si>
  <si>
    <t>Gasoline</t>
  </si>
  <si>
    <t>Jet Gasoline</t>
  </si>
  <si>
    <t>Other petroleum gas</t>
  </si>
  <si>
    <t>Jet Kerosene</t>
  </si>
  <si>
    <t>Other Kerosene</t>
  </si>
  <si>
    <t>Liquid Fuels</t>
  </si>
  <si>
    <t>Shale Oil</t>
  </si>
  <si>
    <t>Aviation spirit</t>
  </si>
  <si>
    <t>Gas/Diesel Oil</t>
  </si>
  <si>
    <t>Aviation turbine fuel</t>
  </si>
  <si>
    <t>Burning oil</t>
  </si>
  <si>
    <t>Liquefied Petroleum Gases</t>
  </si>
  <si>
    <t>Gas oil</t>
  </si>
  <si>
    <t>Bitumen</t>
  </si>
  <si>
    <t>Lubricants</t>
  </si>
  <si>
    <t>Petroleum Coke</t>
  </si>
  <si>
    <t>Refinery Feedstocks</t>
  </si>
  <si>
    <t>Processed fuel oils - residual oil</t>
  </si>
  <si>
    <t>Other Oils</t>
  </si>
  <si>
    <t>Solid fuels</t>
  </si>
  <si>
    <t>Coal</t>
  </si>
  <si>
    <t>Paraffin Waxes</t>
  </si>
  <si>
    <t>Wiite spirit and SBP</t>
  </si>
  <si>
    <t>Other Petroleum Products</t>
  </si>
  <si>
    <t>Coking Coal</t>
  </si>
  <si>
    <t>Other Bituminous Coal</t>
  </si>
  <si>
    <t>Sub-Bituminous Coal</t>
  </si>
  <si>
    <t>Lignite</t>
  </si>
  <si>
    <t>Oil Shale and Tar Sands</t>
  </si>
  <si>
    <t>Brown Coal Briquettes</t>
  </si>
  <si>
    <t>Patent Fuel</t>
  </si>
  <si>
    <t>Coke</t>
  </si>
  <si>
    <t>Coke Oven Coke and Lignite Coke</t>
  </si>
  <si>
    <t>Gas Coke</t>
  </si>
  <si>
    <t>Coal Tar</t>
  </si>
  <si>
    <t>Derrived Gases</t>
  </si>
  <si>
    <t>Gas Works Gas</t>
  </si>
  <si>
    <t>Coke Oven Gas</t>
  </si>
  <si>
    <t>Blast Furnace Gas</t>
  </si>
  <si>
    <t>Oxygen Steel Fumace Gas</t>
  </si>
  <si>
    <t>Municipal Wastes (non-biomass fraction)</t>
  </si>
  <si>
    <t>Industrial Wastes</t>
  </si>
  <si>
    <t>Waste Oils</t>
  </si>
  <si>
    <t>Peat</t>
  </si>
  <si>
    <t>Solid Biofuels</t>
  </si>
  <si>
    <t>Wood / Wood Waste</t>
  </si>
  <si>
    <t>Sulphite lyes (Black Liquor)</t>
  </si>
  <si>
    <t>Other Primmy Solid Biomass</t>
  </si>
  <si>
    <t>Liquid Biofuels</t>
  </si>
  <si>
    <t>Biogasoline</t>
  </si>
  <si>
    <t>Biodiesels</t>
  </si>
  <si>
    <t>Other Liquid Biofuels</t>
  </si>
  <si>
    <t>Gas Biomass</t>
  </si>
  <si>
    <t>Landfill Gas</t>
  </si>
  <si>
    <t>Sludge Gas</t>
  </si>
  <si>
    <t>Other Biogas</t>
  </si>
  <si>
    <t>Other non-fossil fuels</t>
  </si>
  <si>
    <t>Municipal Wastes (biomass fraction)</t>
  </si>
  <si>
    <t>Sources:</t>
  </si>
  <si>
    <t>Source: https://www.globalpetrolprices.com/Chile/</t>
  </si>
  <si>
    <t>market for inorganic phosphorus fertiliser, as P2O5</t>
  </si>
  <si>
    <t>1kg</t>
  </si>
  <si>
    <t>market</t>
  </si>
  <si>
    <t>market for inorganic phosphorus fertiliser, as P2O5 - CL - inorganic phosphorus fertiliser, as P2O5 | ecoQuery (ecoinvent.org)</t>
  </si>
  <si>
    <t>market for inorganic potassium fertiliser, as K2O</t>
  </si>
  <si>
    <t>market for inorganic potassium fertiliser, as K2O - CL - inorganic potassium fertiliser, as K2O | ecoQuery (ecoinvent.org)</t>
  </si>
  <si>
    <t>adapted to regional Value</t>
  </si>
  <si>
    <t>newly added</t>
  </si>
  <si>
    <t>Global entries no revision required</t>
  </si>
  <si>
    <t>all globally usable</t>
  </si>
  <si>
    <t>Global Check</t>
  </si>
  <si>
    <t>https://www.industry.gov.au/data-and-publications/national-greenhouse-accounts-factors-2021</t>
  </si>
  <si>
    <r>
      <t>Global Warming Potential in a 100 year period (kg CO</t>
    </r>
    <r>
      <rPr>
        <b/>
        <vertAlign val="subscript"/>
        <sz val="11"/>
        <color theme="1"/>
        <rFont val="Calibri"/>
        <family val="2"/>
        <scheme val="minor"/>
      </rPr>
      <t>2</t>
    </r>
    <r>
      <rPr>
        <b/>
        <sz val="11"/>
        <color theme="1"/>
        <rFont val="Calibri"/>
        <family val="2"/>
        <scheme val="minor"/>
      </rPr>
      <t>-e)</t>
    </r>
  </si>
  <si>
    <t>Globally applicable</t>
  </si>
  <si>
    <t>https://environment.govt.nz/publications/measuring-emissions-detailed-guide-2020/</t>
  </si>
  <si>
    <t>&lt;- older/established information</t>
  </si>
  <si>
    <t>..&gt; new research by Ulrich Prechsl</t>
  </si>
  <si>
    <t>Meadow/Grassland</t>
  </si>
  <si>
    <t>Grassland to vineyard (cropland)</t>
  </si>
  <si>
    <t>Original Value</t>
  </si>
  <si>
    <t>115t * 0,36 -&gt; 41,4 t SOC Lost (over 17 years)</t>
  </si>
  <si>
    <t>Vineyard Lifespan (30 years)</t>
  </si>
  <si>
    <t>5,0646tCO2*ha y</t>
  </si>
  <si>
    <t>Forest to vineyard (cropland)</t>
  </si>
  <si>
    <t>147t+0,314-&gt;46,16t SOC Lost (over 23 years)= 169,4 t CO2</t>
  </si>
  <si>
    <t xml:space="preserve">Vineyard Lifspan (30 years) </t>
  </si>
  <si>
    <t>5,65 t CO2e*ha y</t>
  </si>
  <si>
    <t>EcoInvent</t>
  </si>
  <si>
    <t xml:space="preserve">Energy medium Voltage </t>
  </si>
  <si>
    <t>1kWh</t>
  </si>
  <si>
    <t>electricity production, wind, &lt;1MW turbine, onshore</t>
  </si>
  <si>
    <t>transformative</t>
  </si>
  <si>
    <t>Electricityproduction median</t>
  </si>
  <si>
    <t>1MWh</t>
  </si>
  <si>
    <t>attached_document1 (jcm.go.jp)</t>
  </si>
  <si>
    <t>electricity , low voltage, market, CL</t>
  </si>
  <si>
    <t>electricity Chile Operating Margin</t>
  </si>
  <si>
    <t>Chile 2018</t>
  </si>
  <si>
    <t>1kwh</t>
  </si>
  <si>
    <t>IGES_GRID_EF_v11.3_20231121.xlsx (live.com)</t>
  </si>
  <si>
    <t>Total Upstream Factor Scope 3</t>
  </si>
  <si>
    <t>IEA_UpstreamLifeCycleEmissionFactors_Documentation.pdf (windows.net)</t>
  </si>
  <si>
    <t>Table 1a Indirect (scope 2 and scope 3) emission factors from consumption of purchased or acquired electricity: market-based factors</t>
  </si>
  <si>
    <t>Residual Mix Factor for the market-based method</t>
  </si>
  <si>
    <t>Table 2: Indirect (scope 2) emission factors for electricity grids</t>
  </si>
  <si>
    <t>Electricity grid</t>
  </si>
  <si>
    <t xml:space="preserve">For Scope 3 see: Table 46: Scope 2 and 3 emissions factors – consumption of purchased electricity by end users </t>
  </si>
  <si>
    <t xml:space="preserve">Utilizing New Zealand's emission factors as AUS does not provide emissions factors on a per ton km basis. AUS provides emissions factors on a GJ/kL basis which would require knowing the fuel type and efficiency for each mode of transportation. </t>
  </si>
  <si>
    <t>Methodik klären</t>
  </si>
  <si>
    <t>ROAD Freighting goods in New Zealand</t>
  </si>
  <si>
    <t>Searching EFS</t>
  </si>
  <si>
    <t>All trucks</t>
  </si>
  <si>
    <t xml:space="preserve">Utilizing New Zealand's emission factors for transportation emission factors as AUS does not provide emissions factors on a per km basis. AUS provides emissions factors on a GJ/kL basis which would require knowing the fuel type and efficiency for each mode of transportation. </t>
  </si>
  <si>
    <t>https://www.researchgate.net/publication/271506054_The_Carbon_Impacts_of_Wood_Products</t>
  </si>
  <si>
    <t>EF (kgCO2-Eq/kg)</t>
  </si>
  <si>
    <t>kraft paper production (RoW) (ecoinvent 3.9)</t>
  </si>
  <si>
    <t>paraffin production (RoW) (ecoinvent 3.9)</t>
  </si>
  <si>
    <t>ecoinvent 3.9.1 IPCC 2021 GWP100 value name</t>
  </si>
  <si>
    <t>corrugated board box production (RoW)</t>
  </si>
  <si>
    <t>https://ecoquery.ecoinvent.org/3.9.1/cutoff/dataset/25334/impact_assessment</t>
  </si>
  <si>
    <t>aluminium production, primary, ingot (RoW)</t>
  </si>
  <si>
    <t>https://ecoquery.ecoinvent.org/3.9.1/cutoff/dataset/11662/impact_assessment</t>
  </si>
  <si>
    <t>polycarbonate production (RoW)</t>
  </si>
  <si>
    <t>https://ecoquery.ecoinvent.org/3.9.1/cutoff/dataset/640/impact_assessment</t>
  </si>
  <si>
    <t>https://www.ipw.co.za/content/pdfs/ghg/eng/International_Wine_Carbon_Calculator_Protocol_V1.2.pdf</t>
  </si>
  <si>
    <t xml:space="preserve">Utilizing US recycling emission factors and NZ composting emission factors as AUS only provides for solid waste. </t>
  </si>
  <si>
    <t>Municipal solid waste</t>
  </si>
  <si>
    <t>ROW EcoInvent</t>
  </si>
  <si>
    <t>Adapted:</t>
  </si>
  <si>
    <t>Food</t>
  </si>
  <si>
    <t>Paper and cardboard</t>
  </si>
  <si>
    <t>RoW</t>
  </si>
  <si>
    <t>Rubber and leather</t>
  </si>
  <si>
    <t>Inert waste (including concrete/metal/plastics/glass)</t>
  </si>
  <si>
    <t>https://www.dcceew.gov.au/climate-change/publications/national-greenhouse-accounts-factors-2023</t>
  </si>
  <si>
    <t>Tier 1 rate per km (AUD$ per km)</t>
  </si>
  <si>
    <t>Tier 2 rate per km (AUD$ per km)</t>
  </si>
  <si>
    <t>Tier X rate per Liter (CLP per L/kWh)</t>
  </si>
  <si>
    <t>to be edited</t>
  </si>
  <si>
    <t>https://www.ird.govt.nz/income-tax/income-tax-for-businesses-and-organisations/types-of-business-expenses/claiming-vehicle-expenses/kilometre-rates-2022-2023</t>
  </si>
  <si>
    <t>Chile energy prices | GlobalPetrolPrices.com</t>
  </si>
  <si>
    <t>*Edited to make AUD$ per km, rather than cents per km</t>
  </si>
  <si>
    <t>AUD$/gal (nation-wide)</t>
  </si>
  <si>
    <t>https://www.globalpetrolprices.com/Australia/</t>
  </si>
  <si>
    <t xml:space="preserve">Private car default (2000 - 3000cc) </t>
  </si>
  <si>
    <t>1.A.3.b.i.1 - Passenger cars with 3-way catalysts</t>
  </si>
  <si>
    <t>Fuel mixtures (fossil and biomass)</t>
  </si>
  <si>
    <t>Bio-Alcohol</t>
  </si>
  <si>
    <t>https://www.ato.gov.au/Business/Income-and-deductions-for-business/Deductions/Deductions-for-motor-vehicle-expenses/Cents-per-kilometre-method/</t>
  </si>
  <si>
    <t xml:space="preserve">North America </t>
  </si>
  <si>
    <t xml:space="preserve">Low Range </t>
  </si>
  <si>
    <t>High Range</t>
  </si>
  <si>
    <t>Greenhouse gas emissions from inorganic and organic fertilizer production and use: A review of emission factors and their variability - ScienceDirect</t>
  </si>
  <si>
    <t>South America</t>
  </si>
  <si>
    <t>ecoinvent 3.9.1, IPCC 2021 (GWP100): "inorganic phosphorus, as P2O5 to generic market for organic phosphorus, as P2O5" (GLO, Global)</t>
  </si>
  <si>
    <t>ecoinvent 3.9.1, IPCC 2021 (GWP100): "inorganic potassium fertiliser, as K2O to generic market for organic potassium fertiliser, as K2O" (GLO, Global)</t>
  </si>
  <si>
    <t>ecoinvent 3.9.1, IPCC 2021 (GWP100): "lime to generic market for soil pH raising agent" (GLO, Global)</t>
  </si>
  <si>
    <t>Emission Factor
(kg CO2-e/kwh)</t>
  </si>
  <si>
    <t>Victoria</t>
  </si>
  <si>
    <t>Queensland</t>
  </si>
  <si>
    <t>South Australia</t>
  </si>
  <si>
    <t>South West Interconnected System (SWIS) in Western Australia</t>
  </si>
  <si>
    <t>North Western Interconnected System (NWIS) in Western Australia</t>
  </si>
  <si>
    <t>Darwin Katherine Interconnected System (DKIS) in the Northern Territory</t>
  </si>
  <si>
    <t>Tasmania</t>
  </si>
  <si>
    <t>Average:</t>
  </si>
  <si>
    <t>*used emission factor average of all territories</t>
  </si>
  <si>
    <t>market for tap water (RoW) (ecoinvent 3.9)</t>
  </si>
  <si>
    <t>Ecoinvent 3.9.1 Database search</t>
  </si>
  <si>
    <t>Ecoinvent 3.9.1 Database Emissions Factor</t>
  </si>
  <si>
    <t>check</t>
  </si>
  <si>
    <r>
      <t xml:space="preserve">* </t>
    </r>
    <r>
      <rPr>
        <sz val="11"/>
        <color theme="1"/>
        <rFont val="Calibri"/>
        <family val="2"/>
        <scheme val="minor"/>
      </rPr>
      <t>Radiata Pine is used as the best estimate for softwood, as it is Australia's predominant softwood species for industrial plantations (https://www.agriculture.gov.au/abares/forestsaustralia/profiles/industrial-plantations). 12% moisture content seasoned sawn softwood timber is used as the best estimate for 20% moisture content raw softwood board. The 545 kg/m</t>
    </r>
    <r>
      <rPr>
        <vertAlign val="superscript"/>
        <sz val="11"/>
        <color theme="1"/>
        <rFont val="Calibri"/>
        <family val="2"/>
        <scheme val="minor"/>
      </rPr>
      <t xml:space="preserve">3 </t>
    </r>
    <r>
      <rPr>
        <sz val="11"/>
        <color theme="1"/>
        <rFont val="Calibri"/>
        <family val="2"/>
        <scheme val="minor"/>
      </rPr>
      <t>value is a December 2018 Queensland Government estimate for Australian Radiata Pine (https://www.business.qld.gov.au/industries/farms-fishing-forestry/forests-wood/properties-timbers/radiata-pine). This estimate is within range of a September 2020 estimate provided by the Government of Western Australia Forest Products Commission (480-590 kg/m</t>
    </r>
    <r>
      <rPr>
        <vertAlign val="superscript"/>
        <sz val="11"/>
        <color theme="1"/>
        <rFont val="Calibri"/>
        <family val="2"/>
        <scheme val="minor"/>
      </rPr>
      <t>3</t>
    </r>
    <r>
      <rPr>
        <sz val="11"/>
        <color theme="1"/>
        <rFont val="Calibri"/>
        <family val="2"/>
        <scheme val="minor"/>
      </rPr>
      <t>) for air-dried Radiata Pine (https://www.wa.gov.au/system/files/2020-09/FPC-species-information.pdf).</t>
    </r>
  </si>
  <si>
    <t>ecoinvent 3.9 Database search</t>
  </si>
  <si>
    <t>Mancozeb production (RoW)</t>
  </si>
  <si>
    <t>Sulfur  production, petroleum refinery operation (RoW)</t>
  </si>
  <si>
    <t>Copper oxide production (RoW)</t>
  </si>
  <si>
    <t>folpet production, RoW</t>
  </si>
  <si>
    <t>values remain</t>
  </si>
  <si>
    <t>fosetyl-Al production, RoW</t>
  </si>
  <si>
    <t>nutrient supply from potassium sulfate, RoW</t>
  </si>
  <si>
    <t>boric acid production, anhydrous, powder (RoW)</t>
  </si>
  <si>
    <t>glyphosate production, RoW</t>
  </si>
  <si>
    <t>pesticide production, unspecified, RoW</t>
  </si>
  <si>
    <t>GLO/RoW ecoinvent 3.9.1</t>
  </si>
  <si>
    <t>copper oxide production (GLO)</t>
  </si>
  <si>
    <t>CONCRETE</t>
  </si>
  <si>
    <t>concrete block production (RoW)</t>
  </si>
  <si>
    <t>ethanol production from whey</t>
  </si>
  <si>
    <t>activated bentonite production</t>
  </si>
  <si>
    <t>ECOINVENT 3.9 RoW/GLO</t>
  </si>
  <si>
    <t>no changes, ROW fitting</t>
  </si>
  <si>
    <t>market for oxygen, liquid</t>
  </si>
  <si>
    <t>argon production, liquid (RoW)</t>
  </si>
  <si>
    <t>hydrogen production, gaseous, petroleum refinery operation</t>
  </si>
  <si>
    <t>sulfur dioxide production, liquid</t>
  </si>
  <si>
    <t>ammonia production, steam reforming, liquid (RoW)</t>
  </si>
  <si>
    <t>formic acid production, methyl formate route (RoW)</t>
  </si>
  <si>
    <t>silicone product production (RoW)</t>
  </si>
  <si>
    <t>ammonium chloride production (GLO)</t>
  </si>
  <si>
    <t>diammonium phosphate production (RoW)</t>
  </si>
  <si>
    <t>sodium phosphate production (RoW)</t>
  </si>
  <si>
    <t>aluminium hydroxide production (RoW)</t>
  </si>
  <si>
    <t>potassium hydroxide production (RoW)</t>
  </si>
  <si>
    <t>sodium hydroxide to generic market for neutralising agent (GLO)</t>
  </si>
  <si>
    <t>Edited Function: Wood Treatment usage reduced in Formula, due to estimation of using 10% of wood treatment compared to wood weight</t>
  </si>
  <si>
    <t>Hazardous Waste
Total CO2 Equivalents 
(metric tonne)</t>
  </si>
  <si>
    <t>Dollars Spent on Airfare</t>
  </si>
  <si>
    <t>Electric (ARS/kWh)</t>
  </si>
  <si>
    <t>Tier 1 rate per km (ARS per km)</t>
  </si>
  <si>
    <t>Tier 2 rate per km (ARS per km)</t>
  </si>
  <si>
    <t>Calculation based on 0,67$ reimbursement per km * current ARS conversion factor 854,74ARS=1$)</t>
  </si>
  <si>
    <t>Electric calculation based on 6km/kWh; 0,16 kWh/km with current energy price of Argentina</t>
  </si>
  <si>
    <t>Domestic flights: $0.20 per kilometer.
For a $200 flight for 100 km, the cost per kilometer is $2.00.
International Short Haul flights: $0.133 per kilometer.
For a $400 flight for 3000 km, the cost per kilometer is approximately $0.133.
International Long Haul flights: $0.125 per kilometer.
For a $1000 flight for 8000 km, the cost per kilometer is $0.125.</t>
  </si>
  <si>
    <t>Average Cost per Kilometer
(USD)</t>
  </si>
  <si>
    <t>Total Spent
(ARS)</t>
  </si>
  <si>
    <t>Function has integrated conversion to Argentinian Pesos (1ARS=0,0011USD)</t>
  </si>
  <si>
    <t>Taxi travel - dollars spent (3,2$/kilometre)</t>
  </si>
  <si>
    <t>Total ARS Spent on Taxi/Rideshare</t>
  </si>
  <si>
    <t>Total Spent on Air Travel 
(USD)</t>
  </si>
  <si>
    <t>Dollars spent (ARS)</t>
  </si>
  <si>
    <t>5% of wine bottles recycled in ARG (source: https://www.carbono.news/activismo/reciqlo-reciclar-y-reusar-el-vidrio-para-devolverle-un-aporte-al-planeta/#:~:text=Ir%C3%B3nicamente%2C%20el%20porcentaje%20de%20vidrio,salsa%20de%20tomate%20y%20otras.)</t>
  </si>
  <si>
    <t>35% of glass recycled in Worldwide: https://www.recovery-worldwide.com/en/artikel/glass-recycling-current-market-trends-3248774.html</t>
  </si>
  <si>
    <t>76% of glass recycled in Worldwod: https://feve.org/glass_recycling_stats_2018/</t>
  </si>
  <si>
    <t>Adjust recycling Quotes in E12/E13 as needed</t>
  </si>
  <si>
    <t>Spanish Name</t>
  </si>
  <si>
    <t>Acido Citrico</t>
  </si>
  <si>
    <t>Acido Tartarico</t>
  </si>
  <si>
    <t>Azucar Organico</t>
  </si>
  <si>
    <t>Decoran Carbon</t>
  </si>
  <si>
    <t>Ladazym CL</t>
  </si>
  <si>
    <t>Values based on European Averages</t>
  </si>
  <si>
    <t>Móbile</t>
  </si>
  <si>
    <t>en las emisiones por GLP, en la columna de CO2e (metric ton), no se encontraba el factor de traspaso de unidades 0,001.</t>
  </si>
  <si>
    <t>Fugitive (refrigerants)</t>
  </si>
  <si>
    <t>1) los factores de emsión utilizados estaban desactualizados (AR5 en vez de AR6)</t>
  </si>
  <si>
    <t>2) R-410 A GWP distintos en la misma tabla de Factores de emisión</t>
  </si>
  <si>
    <t>en la descripción de los pesos para los disntintos insumos, algunos item en la columna de Weight per 1 unit, tenían linkeado un factor de emisión en vez del peso en gramos</t>
  </si>
  <si>
    <t>Offsite waste</t>
  </si>
  <si>
    <t>los residuos peligrosos están sumados con los residuos dispuestos en vertedero</t>
  </si>
  <si>
    <t>Hoja</t>
  </si>
  <si>
    <t>Punto</t>
  </si>
  <si>
    <t>Status</t>
  </si>
  <si>
    <r>
      <t xml:space="preserve">Cambio de Formula del Factor de Emisión : </t>
    </r>
    <r>
      <rPr>
        <sz val="11"/>
        <color rgb="FFFF0000"/>
        <rFont val="Calibri"/>
        <family val="2"/>
        <scheme val="minor"/>
      </rPr>
      <t xml:space="preserve">SUMA(C22*'Emission Factors'!E188)/1000   </t>
    </r>
    <r>
      <rPr>
        <sz val="11"/>
        <color theme="9" tint="-0.499984740745262"/>
        <rFont val="Calibri"/>
        <family val="2"/>
        <scheme val="minor"/>
      </rPr>
      <t>--&gt; SUMA(C22*'Emission Factors'!E233)/1000</t>
    </r>
  </si>
  <si>
    <t>R-404a GWP distintos en la misma tabla de Factores de emisión</t>
  </si>
  <si>
    <r>
      <t xml:space="preserve">Cambio de Formula del Factor de Emisión : </t>
    </r>
    <r>
      <rPr>
        <sz val="11"/>
        <color rgb="FFFF0000"/>
        <rFont val="Calibri"/>
        <family val="2"/>
        <scheme val="minor"/>
      </rPr>
      <t xml:space="preserve">SUMA(C22*'Emission Factors'!E178)/1000   </t>
    </r>
    <r>
      <rPr>
        <sz val="11"/>
        <color theme="9" tint="-0.499984740745262"/>
        <rFont val="Calibri"/>
        <family val="2"/>
        <scheme val="minor"/>
      </rPr>
      <t>--&gt; SUMA(C22*'Emission Factors'!E226)/1000</t>
    </r>
  </si>
  <si>
    <t>Realizado</t>
  </si>
  <si>
    <t>Actualización</t>
  </si>
  <si>
    <t>Se modifica formulas en Hoja Mobile en los dos bloques de LPG, cambiando de kg de CO2 a Toneladas (dividiendo por 1000). En columnas  E / F / G desde Hilera 169 a 193.</t>
  </si>
  <si>
    <t>Hazadous Waste</t>
  </si>
  <si>
    <t>Hazadous Waste
Total CO2 Equivalents 
(metric tonne)</t>
  </si>
  <si>
    <r>
      <t xml:space="preserve">Se cambia el factor de emisión de los Municipal Waste hacia Land fill( La realidad Argentina) </t>
    </r>
    <r>
      <rPr>
        <sz val="11"/>
        <color theme="9" tint="-0.249977111117893"/>
        <rFont val="Calibri"/>
        <family val="2"/>
        <scheme val="minor"/>
      </rPr>
      <t>H40*'Emission Factors'!$B$641</t>
    </r>
  </si>
  <si>
    <t>CFC - 112</t>
  </si>
  <si>
    <t>CFC - 112a</t>
  </si>
  <si>
    <t>CCl2F2  </t>
  </si>
  <si>
    <t>CCl2FCCl2F</t>
  </si>
  <si>
    <t>CCl3FCClF2</t>
  </si>
  <si>
    <t>CCl3F  </t>
  </si>
  <si>
    <t>CClF3  </t>
  </si>
  <si>
    <t>CCl2FCClF2  </t>
  </si>
  <si>
    <t>CClF2CClF2  </t>
  </si>
  <si>
    <t>CClF2CF3  </t>
  </si>
  <si>
    <t>60.7</t>
  </si>
  <si>
    <t>IPCC AR6 Charpter 7</t>
  </si>
  <si>
    <t xml:space="preserve">Se corrigen todos los gases refrigerantes en Hoja "Emission factors". Se coloca en forma de formulas los factores complejos. </t>
  </si>
  <si>
    <t>Se corrigen todos los gases CO2, Ch4 y N2O</t>
  </si>
  <si>
    <t>Los residuos municipales en sudamerica suelen ir a Landfill, el FE estaba asociado a incineración.</t>
  </si>
  <si>
    <t>Se deja vacio los Weight per unit, para que puedan decidir se si coloca pesos propios o pesos generales de Jackson Family</t>
  </si>
  <si>
    <t>Se genera bloque nuevo para sumar residuos peligrosos y se coloca con factor de emisión de incineración</t>
  </si>
  <si>
    <t>La formula multiplicaba por 21 (antigo GWP del metano) y por 33% mal interpretado por estudio de ROSSO</t>
  </si>
  <si>
    <r>
      <t>Se corrige incluyendo el link de FE del metano actualizado. Se corrige el 33% y se coloca el 66% como decia rosso.</t>
    </r>
    <r>
      <rPr>
        <sz val="11"/>
        <color theme="9" tint="-0.249977111117893"/>
        <rFont val="Calibri"/>
        <family val="2"/>
        <scheme val="minor"/>
      </rPr>
      <t xml:space="preserve"> ((C16*D16*0,1949)*('Emission Factors'!D142/1000))/100*66</t>
    </r>
  </si>
  <si>
    <t>On site waste</t>
  </si>
  <si>
    <t>La fórmula no incluye los km. Sendo el factor de emision Ton.km</t>
  </si>
  <si>
    <t>Se incluye la multiplicación por los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</si>
</sst>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 #,##0.00_-;_-* &quot;-&quot;??_-;_-@_-"/>
    <numFmt numFmtId="164" formatCode="_(&quot;$&quot;* #,##0.00_);_(&quot;$&quot;* \(#,##0.00\);_(&quot;$&quot;* &quot;-&quot;??_);_(@_)"/>
    <numFmt numFmtId="165" formatCode="_(* #,##0.00_);_(* \(#,##0.00\);_(* &quot;-&quot;??_);_(@_)"/>
    <numFmt numFmtId="166" formatCode="#,##0.0000"/>
    <numFmt numFmtId="167" formatCode="_(* #,##0_);_(* \(#,##0\);_(* &quot;-&quot;??_);_(@_)"/>
    <numFmt numFmtId="168" formatCode="_(* #,##0.0_);_(* \(#,##0.0\);_(* &quot;-&quot;??_);_(@_)"/>
    <numFmt numFmtId="169" formatCode="0.00000"/>
    <numFmt numFmtId="170" formatCode="_([$$-409]* #,##0.00_);_([$$-409]* \(#,##0.00\);_([$$-409]* &quot;-&quot;??_);_(@_)"/>
    <numFmt numFmtId="171" formatCode="[$-10409]&quot;$&quot;#,##0.00;\(&quot;$&quot;#,##0.00\)"/>
    <numFmt numFmtId="172" formatCode="#,##0.000"/>
    <numFmt numFmtId="173" formatCode="0.000"/>
    <numFmt numFmtId="174" formatCode="0.0%"/>
    <numFmt numFmtId="175" formatCode="0_);\(0\)"/>
    <numFmt numFmtId="176" formatCode="_(* #,##0.0000_);_(* \(#,##0.0000\);_(* &quot;-&quot;??_);_(@_)"/>
    <numFmt numFmtId="177" formatCode="General_)"/>
    <numFmt numFmtId="178" formatCode="0.0"/>
    <numFmt numFmtId="179" formatCode="0.0000000"/>
    <numFmt numFmtId="180" formatCode="0.000000"/>
    <numFmt numFmtId="181" formatCode="0.0000"/>
    <numFmt numFmtId="182" formatCode="#,##0.0"/>
    <numFmt numFmtId="183" formatCode="_-* #,##0_-;\-* #,##0_-;_-* &quot;-&quot;??_-;_-@_-"/>
    <numFmt numFmtId="184" formatCode="_-* #,##0.0_-;\-* #,##0.0_-;_-* &quot;-&quot;?_-;_-@_-"/>
    <numFmt numFmtId="185" formatCode="_-* #,##0.000_-;\-* #,##0.000_-;_-* &quot;-&quot;??_-;_-@_-"/>
    <numFmt numFmtId="186" formatCode="_-* #,##0.0000_-;\-* #,##0.0000_-;_-* &quot;-&quot;??_-;_-@_-"/>
    <numFmt numFmtId="187" formatCode="_-* #,##0.00000_-;\-* #,##0.00000_-;_-* &quot;-&quot;??_-;_-@_-"/>
    <numFmt numFmtId="188" formatCode="[$-409]d\-mmm\-yy;@"/>
    <numFmt numFmtId="189" formatCode="_(* #,##0.00000_);_(* \(#,##0.00000\);_(* &quot;-&quot;??_);_(@_)"/>
    <numFmt numFmtId="190" formatCode="0;\-0;\—;@"/>
    <numFmt numFmtId="191" formatCode="#,##0.000000"/>
    <numFmt numFmtId="192" formatCode="#,##0.00\ &quot;€&quot;"/>
    <numFmt numFmtId="193" formatCode="#,##0.00\ _€"/>
    <numFmt numFmtId="194" formatCode="_-[$$-2C0A]\ * #,##0.00_-;\-[$$-2C0A]\ * #,##0.00_-;_-[$$-2C0A]\ * &quot;-&quot;??_-;_-@_-"/>
    <numFmt numFmtId="195" formatCode="0.000%"/>
    <numFmt numFmtId="196" formatCode="_(* #,##0.000_);_(* \(#,##0.000\);_(* &quot;-&quot;??_);_(@_)"/>
    <numFmt numFmtId="197" formatCode="[$USD]\ #,##0.00"/>
    <numFmt numFmtId="198" formatCode="_-* #,##0.00\ _€_-;\-* #,##0.00\ _€_-;_-* &quot;-&quot;??\ _€_-;_-@_-"/>
    <numFmt numFmtId="199" formatCode="_-* #,##0.0_-;\-* #,##0.0_-;_-* &quot;-&quot;??_-;_-@_-"/>
  </numFmts>
  <fonts count="250">
    <font>
      <sz val="11"/>
      <color theme="1"/>
      <name val="Calibri"/>
      <family val="2"/>
      <scheme val="minor"/>
    </font>
    <font>
      <sz val="12"/>
      <color theme="1"/>
      <name val="Calibri"/>
      <family val="2"/>
      <scheme val="minor"/>
    </font>
    <font>
      <u/>
      <sz val="11"/>
      <color theme="10"/>
      <name val="Calibri"/>
      <family val="2"/>
      <scheme val="minor"/>
    </font>
    <font>
      <sz val="10"/>
      <name val="Arial"/>
      <family val="2"/>
    </font>
    <font>
      <b/>
      <sz val="10"/>
      <name val="Arial"/>
      <family val="2"/>
    </font>
    <font>
      <sz val="11"/>
      <color theme="1"/>
      <name val="Calibri"/>
      <family val="2"/>
      <scheme val="minor"/>
    </font>
    <font>
      <b/>
      <sz val="11"/>
      <color theme="1"/>
      <name val="Calibri"/>
      <family val="2"/>
      <scheme val="minor"/>
    </font>
    <font>
      <sz val="10"/>
      <color indexed="8"/>
      <name val="Arial"/>
      <family val="2"/>
    </font>
    <font>
      <b/>
      <sz val="12"/>
      <color theme="1"/>
      <name val="Calibri"/>
      <family val="2"/>
      <scheme val="minor"/>
    </font>
    <font>
      <b/>
      <sz val="14"/>
      <color theme="1"/>
      <name val="Calibri"/>
      <family val="2"/>
      <scheme val="minor"/>
    </font>
    <font>
      <b/>
      <i/>
      <sz val="11"/>
      <color rgb="FFFF0000"/>
      <name val="Calibri"/>
      <family val="2"/>
      <scheme val="minor"/>
    </font>
    <font>
      <b/>
      <sz val="10"/>
      <name val="Calibri"/>
      <family val="2"/>
      <scheme val="minor"/>
    </font>
    <font>
      <b/>
      <sz val="8"/>
      <name val="Calibri"/>
      <family val="2"/>
      <scheme val="minor"/>
    </font>
    <font>
      <b/>
      <sz val="11"/>
      <name val="Calibri"/>
      <family val="2"/>
      <scheme val="minor"/>
    </font>
    <font>
      <b/>
      <sz val="16"/>
      <color theme="1"/>
      <name val="Calibri"/>
      <family val="2"/>
      <scheme val="minor"/>
    </font>
    <font>
      <b/>
      <i/>
      <sz val="10"/>
      <color rgb="FFFF0000"/>
      <name val="Calibri"/>
      <family val="2"/>
      <scheme val="minor"/>
    </font>
    <font>
      <sz val="11"/>
      <name val="Calibri"/>
      <family val="2"/>
      <scheme val="minor"/>
    </font>
    <font>
      <i/>
      <sz val="11"/>
      <color rgb="FFFF0000"/>
      <name val="Calibri"/>
      <family val="2"/>
      <scheme val="minor"/>
    </font>
    <font>
      <b/>
      <vertAlign val="subscript"/>
      <sz val="10"/>
      <name val="Arial"/>
      <family val="2"/>
    </font>
    <font>
      <b/>
      <i/>
      <sz val="12"/>
      <color theme="1"/>
      <name val="Calibri"/>
      <family val="2"/>
      <scheme val="minor"/>
    </font>
    <font>
      <b/>
      <sz val="18"/>
      <color theme="1"/>
      <name val="Calibri"/>
      <family val="2"/>
      <scheme val="minor"/>
    </font>
    <font>
      <sz val="10"/>
      <color theme="1"/>
      <name val="Arial"/>
      <family val="2"/>
    </font>
    <font>
      <sz val="10"/>
      <color theme="1"/>
      <name val="Calibri"/>
      <family val="2"/>
      <scheme val="minor"/>
    </font>
    <font>
      <b/>
      <sz val="12"/>
      <name val="Calibri"/>
      <family val="2"/>
      <scheme val="minor"/>
    </font>
    <font>
      <b/>
      <sz val="12"/>
      <color indexed="8"/>
      <name val="Calibri"/>
      <family val="2"/>
      <scheme val="minor"/>
    </font>
    <font>
      <sz val="12"/>
      <name val="Calibri"/>
      <family val="2"/>
      <scheme val="minor"/>
    </font>
    <font>
      <sz val="10"/>
      <name val="Arial"/>
      <family val="2"/>
    </font>
    <font>
      <b/>
      <i/>
      <sz val="10"/>
      <name val="Arial"/>
      <family val="2"/>
    </font>
    <font>
      <b/>
      <sz val="14"/>
      <name val="Calibri"/>
      <family val="2"/>
      <scheme val="minor"/>
    </font>
    <font>
      <sz val="11"/>
      <color indexed="8"/>
      <name val="Calibri"/>
      <family val="2"/>
    </font>
    <font>
      <sz val="14"/>
      <color theme="1"/>
      <name val="Calibri"/>
      <family val="2"/>
      <scheme val="minor"/>
    </font>
    <font>
      <i/>
      <sz val="11"/>
      <color theme="1"/>
      <name val="Calibri"/>
      <family val="2"/>
      <scheme val="minor"/>
    </font>
    <font>
      <u/>
      <sz val="11"/>
      <color theme="1"/>
      <name val="Calibri"/>
      <family val="2"/>
      <scheme val="minor"/>
    </font>
    <font>
      <b/>
      <u/>
      <sz val="14"/>
      <color theme="1"/>
      <name val="Calibri"/>
      <family val="2"/>
      <scheme val="minor"/>
    </font>
    <font>
      <b/>
      <sz val="12"/>
      <color theme="4"/>
      <name val="Calibri"/>
      <family val="2"/>
      <scheme val="minor"/>
    </font>
    <font>
      <sz val="9"/>
      <color theme="1"/>
      <name val="Calibri"/>
      <family val="2"/>
      <scheme val="minor"/>
    </font>
    <font>
      <b/>
      <sz val="9"/>
      <color theme="1"/>
      <name val="Calibri"/>
      <family val="2"/>
      <scheme val="minor"/>
    </font>
    <font>
      <u/>
      <sz val="10"/>
      <color theme="4"/>
      <name val="Calibri"/>
      <family val="2"/>
      <scheme val="minor"/>
    </font>
    <font>
      <sz val="8"/>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i/>
      <sz val="11"/>
      <name val="Calibri"/>
      <family val="2"/>
      <scheme val="minor"/>
    </font>
    <font>
      <b/>
      <sz val="12"/>
      <color theme="0"/>
      <name val="Calibri"/>
      <family val="2"/>
      <scheme val="minor"/>
    </font>
    <font>
      <b/>
      <sz val="14"/>
      <color rgb="FFFF0000"/>
      <name val="Calibri"/>
      <family val="2"/>
      <scheme val="minor"/>
    </font>
    <font>
      <u/>
      <sz val="11"/>
      <color rgb="FFFF0000"/>
      <name val="Calibri"/>
      <family val="2"/>
      <scheme val="minor"/>
    </font>
    <font>
      <sz val="18"/>
      <color theme="0"/>
      <name val="Calibri"/>
      <family val="2"/>
      <scheme val="minor"/>
    </font>
    <font>
      <u/>
      <sz val="10"/>
      <color theme="10"/>
      <name val="Arial"/>
      <family val="2"/>
    </font>
    <font>
      <sz val="12"/>
      <color theme="1"/>
      <name val="Arial"/>
      <family val="2"/>
    </font>
    <font>
      <b/>
      <sz val="28"/>
      <color theme="0"/>
      <name val="Calibri"/>
      <family val="2"/>
      <scheme val="minor"/>
    </font>
    <font>
      <b/>
      <sz val="12"/>
      <color rgb="FFFF0000"/>
      <name val="Calibri"/>
      <family val="2"/>
      <scheme val="minor"/>
    </font>
    <font>
      <b/>
      <u/>
      <sz val="12"/>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1"/>
      <name val="Calibri"/>
      <family val="2"/>
    </font>
    <font>
      <b/>
      <u/>
      <sz val="11"/>
      <color theme="1"/>
      <name val="Calibri"/>
      <family val="2"/>
      <scheme val="minor"/>
    </font>
    <font>
      <sz val="9"/>
      <color indexed="81"/>
      <name val="Tahoma"/>
      <family val="2"/>
    </font>
    <font>
      <b/>
      <sz val="9"/>
      <color indexed="81"/>
      <name val="Tahoma"/>
      <family val="2"/>
    </font>
    <font>
      <i/>
      <sz val="9"/>
      <color rgb="FFFF0000"/>
      <name val="Calibri"/>
      <family val="2"/>
      <scheme val="minor"/>
    </font>
    <font>
      <b/>
      <i/>
      <sz val="11"/>
      <color theme="1"/>
      <name val="Calibri"/>
      <family val="2"/>
      <scheme val="minor"/>
    </font>
    <font>
      <i/>
      <sz val="10"/>
      <color rgb="FFFF0000"/>
      <name val="Calibri"/>
      <family val="2"/>
      <scheme val="minor"/>
    </font>
    <font>
      <b/>
      <sz val="16"/>
      <name val="Calibri"/>
      <family val="2"/>
      <scheme val="minor"/>
    </font>
    <font>
      <sz val="10"/>
      <name val="Calibri"/>
      <family val="2"/>
      <scheme val="minor"/>
    </font>
    <font>
      <b/>
      <sz val="11"/>
      <color rgb="FF000000"/>
      <name val="Calibri"/>
      <family val="2"/>
      <scheme val="minor"/>
    </font>
    <font>
      <b/>
      <sz val="24"/>
      <color rgb="FF002060"/>
      <name val="Calibri"/>
      <family val="2"/>
      <scheme val="minor"/>
    </font>
    <font>
      <sz val="11"/>
      <color rgb="FF9C6500"/>
      <name val="Calibri"/>
      <family val="2"/>
      <scheme val="minor"/>
    </font>
    <font>
      <b/>
      <sz val="11"/>
      <color rgb="FFFF0000"/>
      <name val="Calibri"/>
      <family val="2"/>
      <scheme val="minor"/>
    </font>
    <font>
      <b/>
      <sz val="12"/>
      <color rgb="FF000000"/>
      <name val="Calibri"/>
      <family val="2"/>
      <scheme val="minor"/>
    </font>
    <font>
      <sz val="11"/>
      <color rgb="FF000000"/>
      <name val="Calibri"/>
      <family val="2"/>
      <scheme val="minor"/>
    </font>
    <font>
      <b/>
      <sz val="20"/>
      <color theme="1"/>
      <name val="Calibri"/>
      <family val="2"/>
      <scheme val="minor"/>
    </font>
    <font>
      <i/>
      <sz val="11"/>
      <color rgb="FF000000"/>
      <name val="Calibri"/>
      <family val="2"/>
      <scheme val="minor"/>
    </font>
    <font>
      <sz val="10"/>
      <name val="Verdana"/>
      <family val="2"/>
    </font>
    <font>
      <sz val="10"/>
      <color rgb="FFFF0000"/>
      <name val="Arial"/>
      <family val="2"/>
    </font>
    <font>
      <vertAlign val="superscript"/>
      <sz val="10"/>
      <name val="Arial"/>
      <family val="2"/>
    </font>
    <font>
      <sz val="18"/>
      <name val="Calibri"/>
      <family val="2"/>
      <scheme val="minor"/>
    </font>
    <font>
      <vertAlign val="subscript"/>
      <sz val="12"/>
      <color theme="1"/>
      <name val="Calibri"/>
      <family val="2"/>
      <scheme val="minor"/>
    </font>
    <font>
      <b/>
      <vertAlign val="subscript"/>
      <sz val="11"/>
      <color theme="1"/>
      <name val="Calibri"/>
      <family val="2"/>
      <scheme val="minor"/>
    </font>
    <font>
      <b/>
      <vertAlign val="subscript"/>
      <sz val="11"/>
      <name val="Calibri"/>
      <family val="2"/>
      <scheme val="minor"/>
    </font>
    <font>
      <vertAlign val="subscript"/>
      <sz val="11"/>
      <name val="Calibri"/>
      <family val="2"/>
      <scheme val="minor"/>
    </font>
    <font>
      <u/>
      <sz val="11"/>
      <color theme="5"/>
      <name val="Calibri"/>
      <family val="2"/>
      <scheme val="minor"/>
    </font>
    <font>
      <sz val="11"/>
      <color theme="5"/>
      <name val="Calibri"/>
      <family val="2"/>
      <scheme val="minor"/>
    </font>
    <font>
      <vertAlign val="subscript"/>
      <sz val="11"/>
      <color rgb="FF000000"/>
      <name val="Calibri"/>
      <family val="2"/>
      <scheme val="minor"/>
    </font>
    <font>
      <sz val="8"/>
      <color rgb="FF0C3086"/>
      <name val="Arial"/>
      <family val="2"/>
    </font>
    <font>
      <b/>
      <i/>
      <sz val="12"/>
      <color rgb="FFFF0000"/>
      <name val="Calibri"/>
      <family val="2"/>
      <scheme val="minor"/>
    </font>
    <font>
      <u/>
      <sz val="12"/>
      <color rgb="FFFF0000"/>
      <name val="Calibri"/>
      <family val="2"/>
      <scheme val="minor"/>
    </font>
    <font>
      <i/>
      <sz val="12"/>
      <color rgb="FFFF0000"/>
      <name val="Calibri"/>
      <family val="2"/>
      <scheme val="minor"/>
    </font>
    <font>
      <sz val="12"/>
      <color rgb="FFFF0000"/>
      <name val="Calibri"/>
      <family val="2"/>
      <scheme val="minor"/>
    </font>
    <font>
      <b/>
      <sz val="18"/>
      <color theme="0"/>
      <name val="Calibri"/>
      <family val="2"/>
      <scheme val="minor"/>
    </font>
    <font>
      <sz val="18"/>
      <color theme="1"/>
      <name val="Calibri"/>
      <family val="2"/>
      <scheme val="minor"/>
    </font>
    <font>
      <sz val="20"/>
      <color theme="1"/>
      <name val="Calibri"/>
      <family val="2"/>
      <scheme val="minor"/>
    </font>
    <font>
      <sz val="28"/>
      <color theme="1"/>
      <name val="Calibri"/>
      <family val="2"/>
      <scheme val="minor"/>
    </font>
    <font>
      <b/>
      <sz val="18"/>
      <name val="Calibri"/>
      <family val="2"/>
      <scheme val="minor"/>
    </font>
    <font>
      <b/>
      <sz val="18"/>
      <color rgb="FFFF0000"/>
      <name val="Calibri"/>
      <family val="2"/>
      <scheme val="minor"/>
    </font>
    <font>
      <u/>
      <sz val="18"/>
      <color rgb="FFFF0000"/>
      <name val="Calibri"/>
      <family val="2"/>
      <scheme val="minor"/>
    </font>
    <font>
      <b/>
      <sz val="18"/>
      <color indexed="8"/>
      <name val="Calibri"/>
      <family val="2"/>
      <scheme val="minor"/>
    </font>
    <font>
      <b/>
      <vertAlign val="subscript"/>
      <sz val="12"/>
      <name val="Calibri"/>
      <family val="2"/>
      <scheme val="minor"/>
    </font>
    <font>
      <sz val="20"/>
      <name val="Calibri"/>
      <family val="2"/>
      <scheme val="minor"/>
    </font>
    <font>
      <sz val="28"/>
      <name val="Calibri"/>
      <family val="2"/>
      <scheme val="minor"/>
    </font>
    <font>
      <b/>
      <sz val="20"/>
      <color rgb="FFFF0000"/>
      <name val="Calibri"/>
      <family val="2"/>
      <scheme val="minor"/>
    </font>
    <font>
      <i/>
      <sz val="18"/>
      <color rgb="FFFF0000"/>
      <name val="Calibri"/>
      <family val="2"/>
      <scheme val="minor"/>
    </font>
    <font>
      <u/>
      <sz val="12"/>
      <color theme="10"/>
      <name val="Calibri"/>
      <family val="2"/>
      <scheme val="minor"/>
    </font>
    <font>
      <i/>
      <sz val="12"/>
      <color theme="1"/>
      <name val="Calibri"/>
      <family val="2"/>
      <scheme val="minor"/>
    </font>
    <font>
      <vertAlign val="subscript"/>
      <sz val="14"/>
      <color rgb="FF000000"/>
      <name val="Calibri"/>
      <family val="2"/>
      <scheme val="minor"/>
    </font>
    <font>
      <sz val="14"/>
      <color rgb="FF000000"/>
      <name val="Calibri"/>
      <family val="2"/>
      <scheme val="minor"/>
    </font>
    <font>
      <sz val="16"/>
      <color theme="1"/>
      <name val="Calibri"/>
      <family val="2"/>
      <scheme val="minor"/>
    </font>
    <font>
      <b/>
      <sz val="14"/>
      <color rgb="FF000000"/>
      <name val="Calibri"/>
      <family val="2"/>
      <scheme val="minor"/>
    </font>
    <font>
      <sz val="14"/>
      <color rgb="FFFF0000"/>
      <name val="Calibri"/>
      <family val="2"/>
      <scheme val="minor"/>
    </font>
    <font>
      <i/>
      <sz val="14"/>
      <color rgb="FFFF0000"/>
      <name val="Calibri"/>
      <family val="2"/>
      <scheme val="minor"/>
    </font>
    <font>
      <sz val="12"/>
      <color rgb="FF000000"/>
      <name val="Calibri"/>
      <family val="2"/>
      <scheme val="minor"/>
    </font>
    <font>
      <b/>
      <i/>
      <sz val="18"/>
      <color rgb="FFFF0000"/>
      <name val="Calibri"/>
      <family val="2"/>
      <scheme val="minor"/>
    </font>
    <font>
      <sz val="9"/>
      <color rgb="FF000000"/>
      <name val="Calibri"/>
      <family val="2"/>
      <scheme val="minor"/>
    </font>
    <font>
      <sz val="12"/>
      <color indexed="8"/>
      <name val="Calibri"/>
      <family val="2"/>
      <scheme val="minor"/>
    </font>
    <font>
      <sz val="18"/>
      <color rgb="FF000000"/>
      <name val="Calibri"/>
      <family val="2"/>
      <scheme val="minor"/>
    </font>
    <font>
      <sz val="8"/>
      <color theme="1"/>
      <name val="Arial"/>
      <family val="2"/>
    </font>
    <font>
      <b/>
      <sz val="9"/>
      <color theme="1"/>
      <name val="Arial"/>
      <family val="2"/>
    </font>
    <font>
      <sz val="9"/>
      <color theme="1"/>
      <name val="Arial"/>
      <family val="2"/>
    </font>
    <font>
      <b/>
      <sz val="8"/>
      <color theme="1"/>
      <name val="Arial"/>
      <family val="2"/>
    </font>
    <font>
      <b/>
      <vertAlign val="subscript"/>
      <sz val="8"/>
      <color theme="1"/>
      <name val="Arial"/>
      <family val="2"/>
    </font>
    <font>
      <vertAlign val="subscript"/>
      <sz val="9"/>
      <color theme="1"/>
      <name val="Arial"/>
      <family val="2"/>
    </font>
    <font>
      <sz val="9"/>
      <color rgb="FF000000"/>
      <name val="Arial"/>
      <family val="2"/>
    </font>
    <font>
      <b/>
      <i/>
      <sz val="9"/>
      <color theme="1"/>
      <name val="Arial"/>
      <family val="2"/>
    </font>
    <font>
      <b/>
      <sz val="36"/>
      <color theme="9" tint="-0.499984740745262"/>
      <name val="Calibri"/>
      <family val="2"/>
    </font>
    <font>
      <sz val="11"/>
      <color theme="9" tint="-0.499984740745262"/>
      <name val="Calibri"/>
      <family val="2"/>
    </font>
    <font>
      <b/>
      <sz val="11"/>
      <color rgb="FF172835"/>
      <name val="Calibri"/>
      <family val="2"/>
    </font>
    <font>
      <b/>
      <sz val="20"/>
      <color theme="0"/>
      <name val="Calibri"/>
      <family val="2"/>
    </font>
    <font>
      <sz val="12"/>
      <color theme="0"/>
      <name val="Calibri"/>
      <family val="2"/>
    </font>
    <font>
      <b/>
      <sz val="10"/>
      <color rgb="FF272727"/>
      <name val="Calibri"/>
      <family val="2"/>
    </font>
    <font>
      <b/>
      <vertAlign val="subscript"/>
      <sz val="10"/>
      <color rgb="FF272727"/>
      <name val="Calibri"/>
      <family val="2"/>
    </font>
    <font>
      <b/>
      <sz val="11"/>
      <color theme="9" tint="-0.499984740745262"/>
      <name val="Calibri"/>
      <family val="2"/>
    </font>
    <font>
      <i/>
      <u/>
      <sz val="11"/>
      <color theme="9" tint="-0.499984740745262"/>
      <name val="Calibri"/>
      <family val="2"/>
    </font>
    <font>
      <i/>
      <sz val="11"/>
      <color theme="9" tint="-0.499984740745262"/>
      <name val="Calibri"/>
      <family val="2"/>
    </font>
    <font>
      <vertAlign val="subscript"/>
      <sz val="11"/>
      <color theme="9" tint="-0.499984740745262"/>
      <name val="Calibri"/>
      <family val="2"/>
    </font>
    <font>
      <i/>
      <sz val="11"/>
      <color rgb="FF006699"/>
      <name val="Calibri"/>
      <family val="2"/>
    </font>
    <font>
      <i/>
      <vertAlign val="subscript"/>
      <sz val="11"/>
      <color rgb="FF006699"/>
      <name val="Calibri"/>
      <family val="2"/>
    </font>
    <font>
      <i/>
      <sz val="12"/>
      <color rgb="FFFF0000"/>
      <name val="Calibri"/>
      <family val="2"/>
    </font>
    <font>
      <sz val="11"/>
      <color rgb="FF006699"/>
      <name val="Calibri"/>
      <family val="2"/>
    </font>
    <font>
      <i/>
      <sz val="11"/>
      <color rgb="FFFF0000"/>
      <name val="Calibri"/>
      <family val="2"/>
    </font>
    <font>
      <b/>
      <sz val="18"/>
      <color theme="9" tint="-0.499984740745262"/>
      <name val="Calibri"/>
      <family val="2"/>
    </font>
    <font>
      <b/>
      <sz val="11"/>
      <color rgb="FF272727"/>
      <name val="Calibri"/>
      <family val="2"/>
    </font>
    <font>
      <b/>
      <vertAlign val="subscript"/>
      <sz val="11"/>
      <color rgb="FF272727"/>
      <name val="Calibri"/>
      <family val="2"/>
    </font>
    <font>
      <b/>
      <sz val="16"/>
      <color theme="0"/>
      <name val="Calibri"/>
      <family val="2"/>
    </font>
    <font>
      <b/>
      <vertAlign val="subscript"/>
      <sz val="16"/>
      <color theme="0"/>
      <name val="Calibri"/>
      <family val="2"/>
    </font>
    <font>
      <b/>
      <i/>
      <sz val="10"/>
      <color theme="9" tint="-0.499984740745262"/>
      <name val="Calibri"/>
      <family val="2"/>
    </font>
    <font>
      <i/>
      <sz val="10"/>
      <color theme="9" tint="-0.499984740745262"/>
      <name val="Calibri"/>
      <family val="2"/>
    </font>
    <font>
      <b/>
      <u/>
      <sz val="14"/>
      <color rgb="FF376189"/>
      <name val="Calibri"/>
      <family val="2"/>
    </font>
    <font>
      <sz val="11"/>
      <color theme="9" tint="-0.499984740745262"/>
      <name val="Wingdings"/>
      <charset val="2"/>
    </font>
    <font>
      <b/>
      <u/>
      <sz val="11"/>
      <color theme="9" tint="-0.499984740745262"/>
      <name val="Calibri"/>
      <family val="2"/>
    </font>
    <font>
      <b/>
      <sz val="24"/>
      <color theme="9" tint="-0.499984740745262"/>
      <name val="Calibri"/>
      <family val="2"/>
    </font>
    <font>
      <u/>
      <sz val="11"/>
      <color theme="9" tint="-0.499984740745262"/>
      <name val="Calibri"/>
      <family val="2"/>
    </font>
    <font>
      <b/>
      <sz val="12"/>
      <color theme="0"/>
      <name val="Calibri"/>
      <family val="2"/>
    </font>
    <font>
      <sz val="16"/>
      <color theme="0"/>
      <name val="Calibri"/>
      <family val="2"/>
    </font>
    <font>
      <b/>
      <u/>
      <sz val="14"/>
      <name val="Calibri"/>
      <family val="2"/>
    </font>
    <font>
      <b/>
      <sz val="14"/>
      <name val="Calibri"/>
      <family val="2"/>
    </font>
    <font>
      <b/>
      <sz val="16"/>
      <name val="Calibri"/>
      <family val="2"/>
    </font>
    <font>
      <sz val="11"/>
      <name val="Calibri"/>
      <family val="2"/>
    </font>
    <font>
      <sz val="14"/>
      <color theme="9" tint="-0.499984740745262"/>
      <name val="Calibri"/>
      <family val="2"/>
    </font>
    <font>
      <b/>
      <sz val="14"/>
      <color theme="9" tint="-0.499984740745262"/>
      <name val="Calibri"/>
      <family val="2"/>
    </font>
    <font>
      <b/>
      <u/>
      <sz val="14"/>
      <color theme="9" tint="-0.499984740745262"/>
      <name val="Calibri"/>
      <family val="2"/>
    </font>
    <font>
      <sz val="11"/>
      <color rgb="FF002060"/>
      <name val="Calibri"/>
      <family val="2"/>
      <scheme val="minor"/>
    </font>
    <font>
      <b/>
      <sz val="24"/>
      <color theme="0"/>
      <name val="Calibri"/>
      <family val="2"/>
      <scheme val="minor"/>
    </font>
    <font>
      <b/>
      <vertAlign val="subscript"/>
      <sz val="12"/>
      <color theme="1"/>
      <name val="Calibri"/>
      <family val="2"/>
      <scheme val="minor"/>
    </font>
    <font>
      <b/>
      <sz val="36"/>
      <color rgb="FFFFFFFF"/>
      <name val="Calibri"/>
      <family val="2"/>
    </font>
    <font>
      <b/>
      <sz val="28"/>
      <color theme="1"/>
      <name val="Calibri"/>
      <family val="2"/>
      <scheme val="minor"/>
    </font>
    <font>
      <b/>
      <sz val="16"/>
      <color rgb="FFFFFFFF"/>
      <name val="Calibri"/>
      <family val="2"/>
      <scheme val="minor"/>
    </font>
    <font>
      <i/>
      <sz val="12"/>
      <color rgb="FF000000"/>
      <name val="Calibri"/>
      <family val="2"/>
      <scheme val="minor"/>
    </font>
    <font>
      <i/>
      <sz val="16"/>
      <color rgb="FFFF0000"/>
      <name val="Calibri"/>
      <family val="2"/>
      <scheme val="minor"/>
    </font>
    <font>
      <b/>
      <i/>
      <sz val="24"/>
      <color theme="0"/>
      <name val="Calibri"/>
      <family val="2"/>
      <scheme val="minor"/>
    </font>
    <font>
      <sz val="24"/>
      <color theme="1"/>
      <name val="Calibri"/>
      <family val="2"/>
      <scheme val="minor"/>
    </font>
    <font>
      <i/>
      <sz val="10"/>
      <color rgb="FFFF0000"/>
      <name val="Calibri"/>
      <family val="2"/>
    </font>
    <font>
      <b/>
      <sz val="24"/>
      <color rgb="FFFFFFFF"/>
      <name val="Calibri"/>
      <family val="2"/>
      <scheme val="minor"/>
    </font>
    <font>
      <vertAlign val="superscript"/>
      <sz val="12"/>
      <name val="Calibri"/>
      <family val="2"/>
      <scheme val="minor"/>
    </font>
    <font>
      <sz val="24"/>
      <color theme="0"/>
      <name val="Calibri"/>
      <family val="2"/>
      <scheme val="minor"/>
    </font>
    <font>
      <b/>
      <vertAlign val="superscript"/>
      <sz val="11"/>
      <color theme="1"/>
      <name val="Calibri"/>
      <family val="2"/>
      <scheme val="minor"/>
    </font>
    <font>
      <b/>
      <sz val="10"/>
      <color rgb="FF000000"/>
      <name val="Trebuchet MS"/>
      <family val="2"/>
    </font>
    <font>
      <sz val="10"/>
      <name val="Trebuchet MS"/>
      <family val="2"/>
    </font>
    <font>
      <sz val="12"/>
      <color rgb="FFC00000"/>
      <name val="Calibri"/>
      <family val="2"/>
      <scheme val="minor"/>
    </font>
    <font>
      <vertAlign val="superscript"/>
      <sz val="11"/>
      <color theme="1"/>
      <name val="Calibri"/>
      <family val="2"/>
      <scheme val="minor"/>
    </font>
    <font>
      <b/>
      <u/>
      <sz val="18"/>
      <name val="Calibri"/>
      <family val="2"/>
      <scheme val="minor"/>
    </font>
    <font>
      <b/>
      <u/>
      <sz val="15"/>
      <name val="Calibri"/>
      <family val="2"/>
      <scheme val="minor"/>
    </font>
    <font>
      <sz val="15"/>
      <name val="Calibri"/>
      <family val="2"/>
      <scheme val="minor"/>
    </font>
    <font>
      <i/>
      <sz val="12"/>
      <name val="Calibri"/>
      <family val="2"/>
      <scheme val="minor"/>
    </font>
    <font>
      <b/>
      <i/>
      <sz val="14"/>
      <color theme="0"/>
      <name val="Calibri"/>
      <family val="2"/>
      <scheme val="minor"/>
    </font>
    <font>
      <b/>
      <i/>
      <sz val="14"/>
      <color theme="1"/>
      <name val="Calibri"/>
      <family val="2"/>
      <scheme val="minor"/>
    </font>
    <font>
      <vertAlign val="subscript"/>
      <sz val="11"/>
      <color theme="1"/>
      <name val="Calibri"/>
      <family val="2"/>
      <scheme val="minor"/>
    </font>
    <font>
      <b/>
      <u/>
      <sz val="11"/>
      <color rgb="FFFF0000"/>
      <name val="Calibri"/>
      <family val="2"/>
      <scheme val="minor"/>
    </font>
    <font>
      <sz val="10"/>
      <color rgb="FFFF0000"/>
      <name val="Calibri"/>
      <family val="2"/>
    </font>
    <font>
      <b/>
      <i/>
      <sz val="14"/>
      <color rgb="FFFF0000"/>
      <name val="Calibri"/>
      <family val="2"/>
      <scheme val="minor"/>
    </font>
    <font>
      <b/>
      <i/>
      <u/>
      <sz val="14"/>
      <color rgb="FFFF0000"/>
      <name val="Calibri"/>
      <family val="2"/>
      <scheme val="minor"/>
    </font>
    <font>
      <b/>
      <sz val="16"/>
      <color rgb="FF006699"/>
      <name val="Calibri"/>
      <family val="2"/>
      <scheme val="minor"/>
    </font>
    <font>
      <b/>
      <u/>
      <sz val="16"/>
      <color rgb="FF006699"/>
      <name val="Calibri"/>
      <family val="2"/>
      <scheme val="minor"/>
    </font>
    <font>
      <b/>
      <i/>
      <u/>
      <sz val="12"/>
      <color rgb="FFFF0000"/>
      <name val="Calibri"/>
      <family val="2"/>
      <scheme val="minor"/>
    </font>
    <font>
      <b/>
      <u/>
      <sz val="10"/>
      <color rgb="FFFF0000"/>
      <name val="Calibri"/>
      <family val="2"/>
    </font>
    <font>
      <b/>
      <sz val="10"/>
      <color rgb="FFFF0000"/>
      <name val="Calibri"/>
      <family val="2"/>
    </font>
    <font>
      <b/>
      <i/>
      <u/>
      <sz val="11"/>
      <color rgb="FF0070C0"/>
      <name val="Calibri"/>
      <family val="2"/>
      <scheme val="minor"/>
    </font>
    <font>
      <b/>
      <i/>
      <sz val="11"/>
      <color rgb="FF0070C0"/>
      <name val="Calibri"/>
      <family val="2"/>
      <scheme val="minor"/>
    </font>
    <font>
      <sz val="16"/>
      <color rgb="FFFF0000"/>
      <name val="Calibri"/>
      <family val="2"/>
      <scheme val="minor"/>
    </font>
    <font>
      <i/>
      <sz val="11"/>
      <color rgb="FF083A42"/>
      <name val="Calibri"/>
      <family val="2"/>
      <scheme val="minor"/>
    </font>
    <font>
      <b/>
      <sz val="9"/>
      <name val="Calibri"/>
      <family val="2"/>
      <scheme val="minor"/>
    </font>
    <font>
      <b/>
      <sz val="9"/>
      <color rgb="FFFF0000"/>
      <name val="Calibri"/>
      <family val="2"/>
      <scheme val="minor"/>
    </font>
    <font>
      <b/>
      <sz val="16"/>
      <color rgb="FFFF0000"/>
      <name val="Calibri"/>
      <family val="2"/>
      <scheme val="minor"/>
    </font>
    <font>
      <b/>
      <i/>
      <sz val="16"/>
      <color rgb="FFFF0000"/>
      <name val="Calibri"/>
      <family val="2"/>
      <scheme val="minor"/>
    </font>
    <font>
      <sz val="15"/>
      <color rgb="FFFFFFFF"/>
      <name val="Arial"/>
      <family val="2"/>
    </font>
    <font>
      <sz val="15"/>
      <color rgb="FF37424A"/>
      <name val="Arial"/>
      <family val="2"/>
    </font>
    <font>
      <sz val="10"/>
      <color rgb="FF333333"/>
      <name val="Arial"/>
      <family val="2"/>
    </font>
    <font>
      <b/>
      <sz val="11"/>
      <color theme="1"/>
      <name val="Roboto"/>
    </font>
    <font>
      <b/>
      <sz val="22"/>
      <color theme="1"/>
      <name val="Calibri"/>
      <family val="2"/>
      <scheme val="minor"/>
    </font>
    <font>
      <sz val="12"/>
      <color theme="1"/>
      <name val="Calibri"/>
      <family val="2"/>
    </font>
    <font>
      <b/>
      <sz val="11"/>
      <color rgb="FFFFFFFF"/>
      <name val="Calibri"/>
      <family val="2"/>
    </font>
    <font>
      <b/>
      <sz val="11"/>
      <color rgb="FF000000"/>
      <name val="Calibri"/>
      <family val="2"/>
    </font>
    <font>
      <sz val="11"/>
      <color rgb="FF000000"/>
      <name val="Calibri"/>
      <family val="2"/>
    </font>
    <font>
      <b/>
      <sz val="12"/>
      <color rgb="FF000000"/>
      <name val="Calibri"/>
      <family val="2"/>
    </font>
    <font>
      <b/>
      <sz val="12"/>
      <color theme="1"/>
      <name val="Calibri"/>
      <family val="2"/>
    </font>
    <font>
      <b/>
      <i/>
      <sz val="11"/>
      <color theme="9" tint="-0.499984740745262"/>
      <name val="Calibri"/>
      <family val="2"/>
    </font>
    <font>
      <b/>
      <sz val="8"/>
      <color theme="9" tint="-0.499984740745262"/>
      <name val="Calibri"/>
      <family val="2"/>
    </font>
    <font>
      <b/>
      <i/>
      <sz val="18"/>
      <color rgb="FFFFFFFF"/>
      <name val="Calibri"/>
      <family val="2"/>
    </font>
    <font>
      <b/>
      <i/>
      <u/>
      <sz val="18"/>
      <color rgb="FFFFFFFF"/>
      <name val="Calibri"/>
      <family val="2"/>
    </font>
    <font>
      <b/>
      <sz val="20"/>
      <name val="Calibri"/>
      <family val="2"/>
    </font>
    <font>
      <b/>
      <sz val="12"/>
      <name val="Calibri"/>
      <family val="2"/>
    </font>
    <font>
      <sz val="11"/>
      <color rgb="FF1A202C"/>
      <name val="Var(--chakra-fonts-heading)"/>
    </font>
    <font>
      <sz val="12"/>
      <name val="Arial"/>
      <family val="2"/>
    </font>
    <font>
      <b/>
      <sz val="12"/>
      <color rgb="FF1A202C"/>
      <name val="Var(--chakra-fonts-heading)"/>
    </font>
    <font>
      <sz val="11"/>
      <color rgb="FF1A202C"/>
      <name val="Segoe UI"/>
      <family val="2"/>
    </font>
    <font>
      <u/>
      <sz val="10"/>
      <name val="Arial"/>
      <family val="2"/>
    </font>
    <font>
      <b/>
      <sz val="9"/>
      <name val="Arial"/>
      <family val="2"/>
    </font>
    <font>
      <sz val="9"/>
      <name val="Arial"/>
      <family val="2"/>
    </font>
    <font>
      <u/>
      <sz val="9"/>
      <color indexed="12"/>
      <name val="Arial"/>
      <family val="2"/>
    </font>
    <font>
      <vertAlign val="subscript"/>
      <sz val="9"/>
      <name val="Arial"/>
      <family val="2"/>
    </font>
    <font>
      <i/>
      <u/>
      <sz val="11"/>
      <color theme="10"/>
      <name val="Calibri"/>
      <family val="2"/>
      <scheme val="minor"/>
    </font>
    <font>
      <sz val="11"/>
      <color rgb="FF000000"/>
      <name val="Aptos"/>
      <family val="2"/>
    </font>
    <font>
      <sz val="11"/>
      <color theme="1"/>
      <name val="Arial"/>
      <family val="2"/>
    </font>
    <font>
      <sz val="9"/>
      <color rgb="FFFF0000"/>
      <name val="Calibri"/>
      <family val="2"/>
      <scheme val="minor"/>
    </font>
    <font>
      <sz val="14"/>
      <color rgb="FF000000"/>
      <name val="Times New Roman"/>
      <family val="1"/>
    </font>
    <font>
      <sz val="10"/>
      <color rgb="FF000000"/>
      <name val="Calibri"/>
      <family val="2"/>
      <scheme val="minor"/>
    </font>
    <font>
      <sz val="11"/>
      <color rgb="FFFFFFFF"/>
      <name val="Segoe UI Historic"/>
      <family val="2"/>
    </font>
    <font>
      <i/>
      <sz val="8"/>
      <color rgb="FF000000"/>
      <name val="Segoe UI Historic"/>
      <family val="2"/>
    </font>
    <font>
      <strike/>
      <sz val="11"/>
      <color rgb="FF000000"/>
      <name val="Calibri"/>
      <family val="2"/>
      <scheme val="minor"/>
    </font>
    <font>
      <sz val="11"/>
      <color rgb="FF000000"/>
      <name val="Calibri"/>
      <family val="2"/>
      <scheme val="minor"/>
    </font>
    <font>
      <sz val="11"/>
      <color theme="9" tint="-0.499984740745262"/>
      <name val="Calibri"/>
      <family val="2"/>
      <scheme val="minor"/>
    </font>
    <font>
      <sz val="11"/>
      <color theme="9" tint="-0.249977111117893"/>
      <name val="Calibri"/>
      <family val="2"/>
      <scheme val="minor"/>
    </font>
    <font>
      <sz val="24"/>
      <color rgb="FF1F1F1F"/>
      <name val="Arial"/>
      <family val="2"/>
    </font>
  </fonts>
  <fills count="130">
    <fill>
      <patternFill patternType="none"/>
    </fill>
    <fill>
      <patternFill patternType="gray125"/>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717073"/>
        <bgColor indexed="64"/>
      </patternFill>
    </fill>
    <fill>
      <patternFill patternType="solid">
        <fgColor theme="0" tint="-0.14999847407452621"/>
        <bgColor indexed="9"/>
      </patternFill>
    </fill>
    <fill>
      <patternFill patternType="solid">
        <fgColor theme="0"/>
        <bgColor rgb="FFFFFFFF"/>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rgb="FFFFFFFF"/>
      </patternFill>
    </fill>
    <fill>
      <patternFill patternType="solid">
        <fgColor theme="4" tint="0.79998168889431442"/>
        <bgColor rgb="FFFFFFFF"/>
      </patternFill>
    </fill>
    <fill>
      <patternFill patternType="solid">
        <fgColor theme="4" tint="0.79998168889431442"/>
        <bgColor indexed="9"/>
      </patternFill>
    </fill>
    <fill>
      <patternFill patternType="solid">
        <fgColor theme="9"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9999"/>
        <bgColor indexed="64"/>
      </patternFill>
    </fill>
    <fill>
      <patternFill patternType="solid">
        <fgColor rgb="FFFF9900"/>
        <bgColor indexed="64"/>
      </patternFill>
    </fill>
    <fill>
      <patternFill patternType="solid">
        <fgColor rgb="FFFF99FF"/>
        <bgColor indexed="64"/>
      </patternFill>
    </fill>
    <fill>
      <patternFill patternType="solid">
        <fgColor indexed="9"/>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D9E1F2"/>
        <bgColor rgb="FF000000"/>
      </patternFill>
    </fill>
    <fill>
      <patternFill patternType="solid">
        <fgColor theme="4" tint="0.59999389629810485"/>
        <bgColor indexed="64"/>
      </patternFill>
    </fill>
    <fill>
      <patternFill patternType="solid">
        <fgColor rgb="FFFFFFFF"/>
        <bgColor indexed="64"/>
      </patternFill>
    </fill>
    <fill>
      <patternFill patternType="solid">
        <fgColor rgb="FFBFBFBF"/>
        <bgColor indexed="64"/>
      </patternFill>
    </fill>
    <fill>
      <patternFill patternType="solid">
        <fgColor rgb="FFD0CECE"/>
        <bgColor indexed="64"/>
      </patternFill>
    </fill>
    <fill>
      <patternFill patternType="solid">
        <fgColor theme="4" tint="0.79998168889431442"/>
        <bgColor theme="8" tint="0.59999389629810485"/>
      </patternFill>
    </fill>
    <fill>
      <patternFill patternType="solid">
        <fgColor theme="3" tint="0.79998168889431442"/>
        <bgColor indexed="64"/>
      </patternFill>
    </fill>
    <fill>
      <patternFill patternType="solid">
        <fgColor rgb="FFFFF2CC"/>
        <bgColor indexed="64"/>
      </patternFill>
    </fill>
    <fill>
      <patternFill patternType="solid">
        <fgColor rgb="FFC6E0B4"/>
        <bgColor indexed="64"/>
      </patternFill>
    </fill>
    <fill>
      <patternFill patternType="solid">
        <fgColor theme="1"/>
        <bgColor indexed="64"/>
      </patternFill>
    </fill>
    <fill>
      <patternFill patternType="solid">
        <fgColor theme="4" tint="0.79998168889431442"/>
        <bgColor rgb="FF000000"/>
      </patternFill>
    </fill>
    <fill>
      <patternFill patternType="solid">
        <fgColor rgb="FFF7901E"/>
        <bgColor indexed="64"/>
      </patternFill>
    </fill>
    <fill>
      <patternFill patternType="solid">
        <fgColor theme="4"/>
        <bgColor theme="4"/>
      </patternFill>
    </fill>
    <fill>
      <patternFill patternType="solid">
        <fgColor theme="2"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6" tint="-9.9978637043366805E-2"/>
        <bgColor indexed="64"/>
      </patternFill>
    </fill>
    <fill>
      <patternFill patternType="solid">
        <fgColor theme="6" tint="-0.499984740745262"/>
        <bgColor indexed="64"/>
      </patternFill>
    </fill>
    <fill>
      <patternFill patternType="solid">
        <fgColor theme="4" tint="0.79998168889431442"/>
        <bgColor theme="8" tint="0.79998168889431442"/>
      </patternFill>
    </fill>
    <fill>
      <patternFill patternType="solid">
        <fgColor theme="0" tint="-0.14999847407452621"/>
        <bgColor rgb="FF000000"/>
      </patternFill>
    </fill>
    <fill>
      <patternFill patternType="gray125">
        <bgColor rgb="FFD9D9D9"/>
      </patternFill>
    </fill>
    <fill>
      <patternFill patternType="solid">
        <fgColor rgb="FFD9D9D9"/>
        <bgColor indexed="64"/>
      </patternFill>
    </fill>
    <fill>
      <patternFill patternType="solid">
        <fgColor rgb="FFD9D9D9"/>
        <bgColor rgb="FF000000"/>
      </patternFill>
    </fill>
    <fill>
      <patternFill patternType="solid">
        <fgColor theme="8" tint="0.39997558519241921"/>
        <bgColor indexed="64"/>
      </patternFill>
    </fill>
    <fill>
      <patternFill patternType="solid">
        <fgColor theme="6" tint="0.79998168889431442"/>
        <bgColor indexed="64"/>
      </patternFill>
    </fill>
    <fill>
      <patternFill patternType="solid">
        <fgColor theme="2"/>
        <bgColor indexed="64"/>
      </patternFill>
    </fill>
    <fill>
      <patternFill patternType="solid">
        <fgColor theme="2" tint="0.79998168889431442"/>
        <bgColor indexed="64"/>
      </patternFill>
    </fill>
    <fill>
      <patternFill patternType="solid">
        <fgColor rgb="FF5C8A85"/>
        <bgColor indexed="64"/>
      </patternFill>
    </fill>
    <fill>
      <patternFill patternType="solid">
        <fgColor rgb="FFDAE6E5"/>
        <bgColor indexed="64"/>
      </patternFill>
    </fill>
    <fill>
      <patternFill patternType="solid">
        <fgColor rgb="FF172835"/>
        <bgColor indexed="64"/>
      </patternFill>
    </fill>
    <fill>
      <patternFill patternType="solid">
        <fgColor theme="5"/>
        <bgColor indexed="64"/>
      </patternFill>
    </fill>
    <fill>
      <patternFill patternType="solid">
        <fgColor rgb="FFF2DFA6"/>
        <bgColor indexed="64"/>
      </patternFill>
    </fill>
    <fill>
      <patternFill patternType="solid">
        <fgColor theme="4" tint="0.39997558519241921"/>
        <bgColor indexed="64"/>
      </patternFill>
    </fill>
    <fill>
      <patternFill patternType="solid">
        <fgColor rgb="FF92D050"/>
        <bgColor indexed="64"/>
      </patternFill>
    </fill>
    <fill>
      <patternFill patternType="solid">
        <fgColor rgb="FFCAC596"/>
        <bgColor indexed="64"/>
      </patternFill>
    </fill>
    <fill>
      <patternFill patternType="solid">
        <fgColor rgb="FFECE8DF"/>
        <bgColor indexed="64"/>
      </patternFill>
    </fill>
    <fill>
      <patternFill patternType="solid">
        <fgColor rgb="FFFFE699"/>
        <bgColor indexed="64"/>
      </patternFill>
    </fill>
    <fill>
      <patternFill patternType="solid">
        <fgColor theme="7" tint="0.39997558519241921"/>
        <bgColor rgb="FF000000"/>
      </patternFill>
    </fill>
    <fill>
      <patternFill patternType="solid">
        <fgColor rgb="FF305496"/>
        <bgColor rgb="FF000000"/>
      </patternFill>
    </fill>
    <fill>
      <patternFill patternType="solid">
        <fgColor rgb="FFFFD966"/>
        <bgColor rgb="FF000000"/>
      </patternFill>
    </fill>
    <fill>
      <patternFill patternType="solid">
        <fgColor theme="2" tint="-0.749992370372631"/>
        <bgColor indexed="64"/>
      </patternFill>
    </fill>
    <fill>
      <patternFill patternType="solid">
        <fgColor theme="7" tint="-0.249977111117893"/>
        <bgColor indexed="64"/>
      </patternFill>
    </fill>
    <fill>
      <patternFill patternType="solid">
        <fgColor rgb="FFFFD966"/>
        <bgColor indexed="64"/>
      </patternFill>
    </fill>
    <fill>
      <patternFill patternType="solid">
        <fgColor theme="7" tint="0.59999389629810485"/>
        <bgColor indexed="64"/>
      </patternFill>
    </fill>
    <fill>
      <patternFill patternType="solid">
        <fgColor theme="6"/>
        <bgColor indexed="64"/>
      </patternFill>
    </fill>
    <fill>
      <patternFill patternType="solid">
        <fgColor theme="9"/>
        <bgColor indexed="64"/>
      </patternFill>
    </fill>
    <fill>
      <patternFill patternType="solid">
        <fgColor rgb="FF085A64"/>
        <bgColor indexed="64"/>
      </patternFill>
    </fill>
    <fill>
      <patternFill patternType="solid">
        <fgColor rgb="FFF0F7FB"/>
        <bgColor indexed="64"/>
      </patternFill>
    </fill>
    <fill>
      <patternFill patternType="solid">
        <fgColor rgb="FFD9E1F2"/>
        <bgColor rgb="FFBDD7EE"/>
      </patternFill>
    </fill>
    <fill>
      <patternFill patternType="solid">
        <fgColor rgb="FFD9E2F3"/>
        <bgColor rgb="FFD9E2F3"/>
      </patternFill>
    </fill>
    <fill>
      <patternFill patternType="solid">
        <fgColor rgb="FF1C556C"/>
      </patternFill>
    </fill>
    <fill>
      <patternFill patternType="solid">
        <fgColor rgb="FF8EAAB7"/>
      </patternFill>
    </fill>
    <fill>
      <patternFill patternType="solid">
        <fgColor rgb="FFD9D9D9"/>
      </patternFill>
    </fill>
    <fill>
      <patternFill patternType="solid">
        <fgColor rgb="FFFFFFFF"/>
      </patternFill>
    </fill>
    <fill>
      <patternFill patternType="solid">
        <fgColor rgb="FFDDDDDD"/>
      </patternFill>
    </fill>
    <fill>
      <patternFill patternType="solid">
        <fgColor rgb="FFD9E1F2"/>
        <bgColor rgb="FFD9E1F2"/>
      </patternFill>
    </fill>
    <fill>
      <patternFill patternType="solid">
        <fgColor rgb="FFE9E9E9"/>
      </patternFill>
    </fill>
    <fill>
      <patternFill patternType="solid">
        <fgColor theme="7" tint="0.89999084444715716"/>
        <bgColor indexed="64"/>
      </patternFill>
    </fill>
    <fill>
      <patternFill patternType="solid">
        <fgColor theme="8" tint="0.79998168889431442"/>
        <bgColor indexed="64"/>
      </patternFill>
    </fill>
    <fill>
      <patternFill patternType="solid">
        <fgColor theme="0"/>
        <bgColor rgb="FF000000"/>
      </patternFill>
    </fill>
    <fill>
      <patternFill patternType="lightGray">
        <fgColor rgb="FF000000"/>
        <bgColor theme="0"/>
      </patternFill>
    </fill>
    <fill>
      <patternFill patternType="solid">
        <fgColor rgb="FFFFC000"/>
        <bgColor indexed="64"/>
      </patternFill>
    </fill>
    <fill>
      <patternFill patternType="solid">
        <fgColor rgb="FFFFFFFF"/>
        <bgColor rgb="FF000000"/>
      </patternFill>
    </fill>
    <fill>
      <patternFill patternType="solid">
        <fgColor rgb="FFFFFF66"/>
        <bgColor indexed="64"/>
      </patternFill>
    </fill>
    <fill>
      <patternFill patternType="solid">
        <fgColor theme="7"/>
        <bgColor indexed="64"/>
      </patternFill>
    </fill>
    <fill>
      <patternFill patternType="solid">
        <fgColor rgb="FF003053"/>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70C0"/>
        <bgColor indexed="64"/>
      </patternFill>
    </fill>
    <fill>
      <patternFill patternType="solid">
        <fgColor theme="9" tint="0.39997558519241921"/>
        <bgColor indexed="64"/>
      </patternFill>
    </fill>
    <fill>
      <patternFill patternType="solid">
        <fgColor rgb="FFFF0000"/>
        <bgColor indexed="64"/>
      </patternFill>
    </fill>
  </fills>
  <borders count="2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style="medium">
        <color indexed="64"/>
      </left>
      <right/>
      <top/>
      <bottom/>
      <diagonal/>
    </border>
    <border>
      <left style="medium">
        <color indexed="64"/>
      </left>
      <right/>
      <top/>
      <bottom style="medium">
        <color indexed="64"/>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theme="0"/>
      </right>
      <top/>
      <bottom style="thick">
        <color theme="0"/>
      </bottom>
      <diagonal/>
    </border>
    <border>
      <left/>
      <right style="thin">
        <color indexed="64"/>
      </right>
      <top style="thin">
        <color indexed="64"/>
      </top>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style="thin">
        <color indexed="64"/>
      </right>
      <top style="thin">
        <color theme="4"/>
      </top>
      <bottom/>
      <diagonal/>
    </border>
    <border>
      <left/>
      <right style="thin">
        <color indexed="64"/>
      </right>
      <top/>
      <bottom style="thin">
        <color theme="4"/>
      </bottom>
      <diagonal/>
    </border>
    <border>
      <left/>
      <right/>
      <top style="thin">
        <color theme="4"/>
      </top>
      <bottom style="thin">
        <color theme="4"/>
      </bottom>
      <diagonal/>
    </border>
    <border>
      <left style="thin">
        <color theme="4"/>
      </left>
      <right style="thin">
        <color theme="4"/>
      </right>
      <top/>
      <bottom style="thin">
        <color theme="4"/>
      </bottom>
      <diagonal/>
    </border>
    <border>
      <left style="thin">
        <color theme="3"/>
      </left>
      <right style="thin">
        <color theme="3"/>
      </right>
      <top style="thin">
        <color theme="3"/>
      </top>
      <bottom style="thin">
        <color theme="3"/>
      </bottom>
      <diagonal/>
    </border>
    <border>
      <left style="medium">
        <color indexed="64"/>
      </left>
      <right/>
      <top style="thin">
        <color auto="1"/>
      </top>
      <bottom style="thin">
        <color auto="1"/>
      </bottom>
      <diagonal/>
    </border>
    <border>
      <left/>
      <right style="medium">
        <color indexed="64"/>
      </right>
      <top style="thin">
        <color indexed="64"/>
      </top>
      <bottom style="thin">
        <color indexed="64"/>
      </bottom>
      <diagonal/>
    </border>
    <border>
      <left/>
      <right/>
      <top style="thin">
        <color theme="4"/>
      </top>
      <bottom style="thin">
        <color indexed="64"/>
      </bottom>
      <diagonal/>
    </border>
    <border>
      <left/>
      <right style="thin">
        <color theme="4"/>
      </right>
      <top style="thin">
        <color theme="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bottom style="thin">
        <color theme="9"/>
      </bottom>
      <diagonal/>
    </border>
    <border>
      <left/>
      <right style="medium">
        <color indexed="64"/>
      </right>
      <top/>
      <bottom style="thin">
        <color theme="9"/>
      </bottom>
      <diagonal/>
    </border>
    <border>
      <left style="medium">
        <color indexed="64"/>
      </left>
      <right style="thin">
        <color theme="4"/>
      </right>
      <top style="thin">
        <color theme="4"/>
      </top>
      <bottom style="thin">
        <color theme="4"/>
      </bottom>
      <diagonal/>
    </border>
    <border>
      <left style="thin">
        <color theme="9"/>
      </left>
      <right/>
      <top style="thin">
        <color theme="9"/>
      </top>
      <bottom style="thin">
        <color theme="9"/>
      </bottom>
      <diagonal/>
    </border>
    <border>
      <left/>
      <right/>
      <top style="thin">
        <color theme="9"/>
      </top>
      <bottom style="thin">
        <color theme="9"/>
      </bottom>
      <diagonal/>
    </border>
    <border>
      <left/>
      <right style="medium">
        <color indexed="64"/>
      </right>
      <top style="thin">
        <color theme="9"/>
      </top>
      <bottom style="thin">
        <color theme="9"/>
      </bottom>
      <diagonal/>
    </border>
    <border>
      <left style="thin">
        <color theme="9"/>
      </left>
      <right style="thin">
        <color theme="9"/>
      </right>
      <top style="thin">
        <color theme="9"/>
      </top>
      <bottom style="thin">
        <color theme="9"/>
      </bottom>
      <diagonal/>
    </border>
    <border>
      <left style="medium">
        <color indexed="64"/>
      </left>
      <right style="thin">
        <color theme="2"/>
      </right>
      <top style="thin">
        <color theme="2"/>
      </top>
      <bottom style="thin">
        <color theme="2"/>
      </bottom>
      <diagonal/>
    </border>
    <border>
      <left style="thin">
        <color theme="2"/>
      </left>
      <right/>
      <top style="thin">
        <color theme="2"/>
      </top>
      <bottom style="thin">
        <color theme="2"/>
      </bottom>
      <diagonal/>
    </border>
    <border>
      <left style="thin">
        <color theme="9"/>
      </left>
      <right style="thin">
        <color theme="9"/>
      </right>
      <top/>
      <bottom style="thin">
        <color theme="9"/>
      </bottom>
      <diagonal/>
    </border>
    <border>
      <left style="thin">
        <color rgb="FF5C8A85"/>
      </left>
      <right/>
      <top style="thin">
        <color rgb="FF5C8A85"/>
      </top>
      <bottom style="thin">
        <color rgb="FF5C8A85"/>
      </bottom>
      <diagonal/>
    </border>
    <border>
      <left style="medium">
        <color indexed="64"/>
      </left>
      <right style="thin">
        <color rgb="FF5C8A85"/>
      </right>
      <top style="thin">
        <color rgb="FF5C8A85"/>
      </top>
      <bottom/>
      <diagonal/>
    </border>
    <border>
      <left style="medium">
        <color indexed="64"/>
      </left>
      <right style="thin">
        <color rgb="FF5C8A85"/>
      </right>
      <top style="thin">
        <color rgb="FF5C8A85"/>
      </top>
      <bottom style="medium">
        <color indexed="64"/>
      </bottom>
      <diagonal/>
    </border>
    <border>
      <left style="thin">
        <color rgb="FF5C8A85"/>
      </left>
      <right/>
      <top style="thin">
        <color rgb="FF5C8A85"/>
      </top>
      <bottom style="medium">
        <color indexed="64"/>
      </bottom>
      <diagonal/>
    </border>
    <border>
      <left style="thin">
        <color theme="9"/>
      </left>
      <right style="thin">
        <color theme="9"/>
      </right>
      <top style="thin">
        <color theme="9"/>
      </top>
      <bottom style="medium">
        <color indexed="64"/>
      </bottom>
      <diagonal/>
    </border>
    <border>
      <left style="thin">
        <color theme="9"/>
      </left>
      <right/>
      <top style="thin">
        <color theme="9"/>
      </top>
      <bottom style="medium">
        <color indexed="64"/>
      </bottom>
      <diagonal/>
    </border>
    <border>
      <left/>
      <right/>
      <top style="thin">
        <color theme="9"/>
      </top>
      <bottom style="medium">
        <color indexed="64"/>
      </bottom>
      <diagonal/>
    </border>
    <border>
      <left/>
      <right style="medium">
        <color indexed="64"/>
      </right>
      <top style="thin">
        <color theme="9"/>
      </top>
      <bottom style="medium">
        <color indexed="64"/>
      </bottom>
      <diagonal/>
    </border>
    <border>
      <left style="thin">
        <color rgb="FF000000"/>
      </left>
      <right style="thin">
        <color rgb="FF000000"/>
      </right>
      <top style="medium">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
      <left/>
      <right style="thin">
        <color theme="9"/>
      </right>
      <top/>
      <bottom style="thin">
        <color theme="0"/>
      </bottom>
      <diagonal/>
    </border>
    <border>
      <left/>
      <right style="thin">
        <color theme="9"/>
      </right>
      <top style="thin">
        <color theme="0"/>
      </top>
      <bottom style="thin">
        <color theme="0"/>
      </bottom>
      <diagonal/>
    </border>
    <border>
      <left style="medium">
        <color theme="0" tint="-0.249977111117893"/>
      </left>
      <right style="thin">
        <color theme="0" tint="-0.249977111117893"/>
      </right>
      <top style="thin">
        <color theme="0" tint="-0.249977111117893"/>
      </top>
      <bottom/>
      <diagonal/>
    </border>
    <border>
      <left style="thin">
        <color theme="9"/>
      </left>
      <right style="thin">
        <color theme="9"/>
      </right>
      <top style="thin">
        <color theme="9"/>
      </top>
      <bottom/>
      <diagonal/>
    </border>
    <border>
      <left style="thin">
        <color theme="9"/>
      </left>
      <right style="thin">
        <color theme="9"/>
      </right>
      <top style="medium">
        <color indexed="64"/>
      </top>
      <bottom style="thin">
        <color theme="9"/>
      </bottom>
      <diagonal/>
    </border>
    <border>
      <left style="thin">
        <color theme="9"/>
      </left>
      <right style="medium">
        <color indexed="64"/>
      </right>
      <top style="medium">
        <color indexed="64"/>
      </top>
      <bottom style="thin">
        <color theme="9"/>
      </bottom>
      <diagonal/>
    </border>
    <border>
      <left style="thin">
        <color theme="9"/>
      </left>
      <right style="medium">
        <color indexed="64"/>
      </right>
      <top style="thin">
        <color theme="9"/>
      </top>
      <bottom style="thin">
        <color theme="9"/>
      </bottom>
      <diagonal/>
    </border>
    <border>
      <left style="thin">
        <color theme="9"/>
      </left>
      <right style="medium">
        <color indexed="64"/>
      </right>
      <top style="thin">
        <color theme="9"/>
      </top>
      <bottom/>
      <diagonal/>
    </border>
    <border>
      <left style="medium">
        <color indexed="64"/>
      </left>
      <right/>
      <top style="thin">
        <color theme="4"/>
      </top>
      <bottom style="thin">
        <color theme="4"/>
      </bottom>
      <diagonal/>
    </border>
    <border>
      <left style="thin">
        <color theme="9"/>
      </left>
      <right style="thin">
        <color theme="9"/>
      </right>
      <top/>
      <bottom/>
      <diagonal/>
    </border>
    <border>
      <left style="thin">
        <color theme="9"/>
      </left>
      <right style="medium">
        <color indexed="64"/>
      </right>
      <top/>
      <bottom/>
      <diagonal/>
    </border>
    <border>
      <left/>
      <right/>
      <top style="thin">
        <color theme="9"/>
      </top>
      <bottom/>
      <diagonal/>
    </border>
    <border>
      <left style="thin">
        <color theme="9"/>
      </left>
      <right/>
      <top/>
      <bottom style="thin">
        <color theme="9"/>
      </bottom>
      <diagonal/>
    </border>
    <border>
      <left style="medium">
        <color indexed="64"/>
      </left>
      <right/>
      <top style="thin">
        <color rgb="FFB0A755"/>
      </top>
      <bottom style="thin">
        <color rgb="FFB0A755"/>
      </bottom>
      <diagonal/>
    </border>
    <border>
      <left/>
      <right style="thin">
        <color theme="9"/>
      </right>
      <top style="thin">
        <color rgb="FFB0A755"/>
      </top>
      <bottom style="thin">
        <color rgb="FFB0A755"/>
      </bottom>
      <diagonal/>
    </border>
    <border>
      <left style="thin">
        <color theme="9"/>
      </left>
      <right/>
      <top/>
      <bottom/>
      <diagonal/>
    </border>
    <border>
      <left style="thin">
        <color rgb="FFCAC596"/>
      </left>
      <right/>
      <top style="thin">
        <color rgb="FFCAC596"/>
      </top>
      <bottom style="thin">
        <color rgb="FFCAC596"/>
      </bottom>
      <diagonal/>
    </border>
    <border>
      <left style="medium">
        <color indexed="64"/>
      </left>
      <right style="thin">
        <color rgb="FFCAC596"/>
      </right>
      <top style="thin">
        <color rgb="FFCAC596"/>
      </top>
      <bottom/>
      <diagonal/>
    </border>
    <border>
      <left style="thin">
        <color rgb="FFCAC596"/>
      </left>
      <right/>
      <top style="thin">
        <color rgb="FFCAC596"/>
      </top>
      <bottom style="medium">
        <color indexed="64"/>
      </bottom>
      <diagonal/>
    </border>
    <border>
      <left style="thin">
        <color theme="9"/>
      </left>
      <right style="medium">
        <color indexed="64"/>
      </right>
      <top style="thin">
        <color theme="9"/>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auto="1"/>
      </left>
      <right style="medium">
        <color auto="1"/>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indexed="64"/>
      </left>
      <right/>
      <top style="thin">
        <color indexed="64"/>
      </top>
      <bottom style="thin">
        <color theme="7" tint="0.79998168889431442"/>
      </bottom>
      <diagonal/>
    </border>
    <border>
      <left/>
      <right/>
      <top style="thin">
        <color indexed="64"/>
      </top>
      <bottom style="thin">
        <color theme="7" tint="0.79998168889431442"/>
      </bottom>
      <diagonal/>
    </border>
    <border>
      <left/>
      <right/>
      <top/>
      <bottom style="thin">
        <color theme="7" tint="0.79998168889431442"/>
      </bottom>
      <diagonal/>
    </border>
    <border>
      <left style="thin">
        <color indexed="64"/>
      </left>
      <right/>
      <top style="thin">
        <color theme="7" tint="0.79998168889431442"/>
      </top>
      <bottom style="thin">
        <color theme="7" tint="0.79998168889431442"/>
      </bottom>
      <diagonal/>
    </border>
    <border>
      <left/>
      <right/>
      <top style="thin">
        <color theme="7" tint="0.79998168889431442"/>
      </top>
      <bottom style="thin">
        <color theme="7" tint="0.79998168889431442"/>
      </bottom>
      <diagonal/>
    </border>
    <border>
      <left/>
      <right/>
      <top style="thin">
        <color theme="7" tint="0.79998168889431442"/>
      </top>
      <bottom/>
      <diagonal/>
    </border>
    <border>
      <left style="thin">
        <color theme="7" tint="0.79998168889431442"/>
      </left>
      <right/>
      <top style="thin">
        <color indexed="64"/>
      </top>
      <bottom style="thin">
        <color theme="7" tint="0.79998168889431442"/>
      </bottom>
      <diagonal/>
    </border>
    <border>
      <left/>
      <right style="thin">
        <color auto="1"/>
      </right>
      <top style="thin">
        <color auto="1"/>
      </top>
      <bottom style="medium">
        <color auto="1"/>
      </bottom>
      <diagonal/>
    </border>
    <border>
      <left style="medium">
        <color indexed="64"/>
      </left>
      <right/>
      <top style="medium">
        <color indexed="64"/>
      </top>
      <bottom style="thin">
        <color theme="4"/>
      </bottom>
      <diagonal/>
    </border>
    <border>
      <left/>
      <right style="thin">
        <color rgb="FF000000"/>
      </right>
      <top style="medium">
        <color indexed="64"/>
      </top>
      <bottom style="thin">
        <color theme="4"/>
      </bottom>
      <diagonal/>
    </border>
    <border>
      <left style="medium">
        <color indexed="64"/>
      </left>
      <right style="thin">
        <color theme="4"/>
      </right>
      <top style="thin">
        <color theme="4"/>
      </top>
      <bottom/>
      <diagonal/>
    </border>
    <border>
      <left style="medium">
        <color indexed="64"/>
      </left>
      <right style="thin">
        <color theme="4"/>
      </right>
      <top/>
      <bottom/>
      <diagonal/>
    </border>
    <border>
      <left style="medium">
        <color indexed="64"/>
      </left>
      <right style="thin">
        <color theme="4"/>
      </right>
      <top/>
      <bottom style="thin">
        <color theme="4"/>
      </bottom>
      <diagonal/>
    </border>
    <border>
      <left style="thin">
        <color rgb="FF000000"/>
      </left>
      <right/>
      <top style="thin">
        <color theme="9"/>
      </top>
      <bottom style="thin">
        <color theme="9"/>
      </bottom>
      <diagonal/>
    </border>
    <border>
      <left style="medium">
        <color indexed="64"/>
      </left>
      <right style="thin">
        <color rgb="FF5C8A85"/>
      </right>
      <top/>
      <bottom/>
      <diagonal/>
    </border>
    <border>
      <left style="medium">
        <color indexed="64"/>
      </left>
      <right style="thin">
        <color rgb="FF5C8A85"/>
      </right>
      <top/>
      <bottom style="thin">
        <color rgb="FF5C8A85"/>
      </bottom>
      <diagonal/>
    </border>
    <border>
      <left style="thin">
        <color rgb="FF000000"/>
      </left>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dotted">
        <color theme="0" tint="-0.249977111117893"/>
      </left>
      <right/>
      <top style="medium">
        <color rgb="FF000000"/>
      </top>
      <bottom style="dotted">
        <color theme="0" tint="-0.249977111117893"/>
      </bottom>
      <diagonal/>
    </border>
    <border>
      <left/>
      <right style="medium">
        <color indexed="64"/>
      </right>
      <top style="medium">
        <color rgb="FF000000"/>
      </top>
      <bottom style="dotted">
        <color theme="0" tint="-0.249977111117893"/>
      </bottom>
      <diagonal/>
    </border>
    <border>
      <left/>
      <right/>
      <top/>
      <bottom style="medium">
        <color theme="0" tint="-0.249977111117893"/>
      </bottom>
      <diagonal/>
    </border>
    <border>
      <left style="medium">
        <color indexed="64"/>
      </left>
      <right style="thin">
        <color theme="2"/>
      </right>
      <top style="thin">
        <color theme="4"/>
      </top>
      <bottom/>
      <diagonal/>
    </border>
    <border>
      <left style="medium">
        <color indexed="64"/>
      </left>
      <right style="thin">
        <color theme="2"/>
      </right>
      <top/>
      <bottom/>
      <diagonal/>
    </border>
    <border>
      <left style="medium">
        <color indexed="64"/>
      </left>
      <right style="thin">
        <color theme="2"/>
      </right>
      <top/>
      <bottom style="thin">
        <color theme="2"/>
      </bottom>
      <diagonal/>
    </border>
    <border>
      <left/>
      <right style="thin">
        <color theme="9"/>
      </right>
      <top style="thin">
        <color theme="4"/>
      </top>
      <bottom style="thin">
        <color theme="4"/>
      </bottom>
      <diagonal/>
    </border>
    <border>
      <left style="medium">
        <color indexed="64"/>
      </left>
      <right/>
      <top style="thin">
        <color theme="4"/>
      </top>
      <bottom style="thin">
        <color rgb="FFB0A755"/>
      </bottom>
      <diagonal/>
    </border>
    <border>
      <left/>
      <right style="thin">
        <color theme="9"/>
      </right>
      <top style="thin">
        <color theme="4"/>
      </top>
      <bottom style="thin">
        <color rgb="FFB0A755"/>
      </bottom>
      <diagonal/>
    </border>
    <border>
      <left style="medium">
        <color indexed="64"/>
      </left>
      <right/>
      <top style="thin">
        <color rgb="FFCAC596"/>
      </top>
      <bottom style="thin">
        <color rgb="FFCAC596"/>
      </bottom>
      <diagonal/>
    </border>
    <border>
      <left/>
      <right style="thin">
        <color theme="9"/>
      </right>
      <top style="thin">
        <color rgb="FFCAC596"/>
      </top>
      <bottom style="thin">
        <color rgb="FFCAC596"/>
      </bottom>
      <diagonal/>
    </border>
    <border>
      <left style="medium">
        <color indexed="64"/>
      </left>
      <right style="thin">
        <color rgb="FFCAC596"/>
      </right>
      <top/>
      <bottom/>
      <diagonal/>
    </border>
    <border>
      <left style="medium">
        <color indexed="64"/>
      </left>
      <right style="thin">
        <color rgb="FFCAC596"/>
      </right>
      <top/>
      <bottom style="medium">
        <color indexed="64"/>
      </bottom>
      <diagonal/>
    </border>
    <border>
      <left/>
      <right/>
      <top style="medium">
        <color indexed="64"/>
      </top>
      <bottom style="medium">
        <color rgb="FF000000"/>
      </bottom>
      <diagonal/>
    </border>
    <border>
      <left style="medium">
        <color indexed="64"/>
      </left>
      <right/>
      <top/>
      <bottom style="thin">
        <color indexed="64"/>
      </bottom>
      <diagonal/>
    </border>
    <border>
      <left style="thin">
        <color auto="1"/>
      </left>
      <right style="medium">
        <color auto="1"/>
      </right>
      <top/>
      <bottom style="thin">
        <color auto="1"/>
      </bottom>
      <diagonal/>
    </border>
    <border>
      <left style="medium">
        <color indexed="64"/>
      </left>
      <right style="medium">
        <color indexed="64"/>
      </right>
      <top style="thin">
        <color auto="1"/>
      </top>
      <bottom/>
      <diagonal/>
    </border>
    <border>
      <left/>
      <right style="medium">
        <color rgb="FFE9F5F6"/>
      </right>
      <top/>
      <bottom style="medium">
        <color rgb="FFE9F5F6"/>
      </bottom>
      <diagonal/>
    </border>
    <border>
      <left style="thick">
        <color rgb="FF5EB9C3"/>
      </left>
      <right style="medium">
        <color rgb="FFE9F5F6"/>
      </right>
      <top/>
      <bottom style="medium">
        <color rgb="FFE9F5F6"/>
      </bottom>
      <diagonal/>
    </border>
    <border>
      <left style="thick">
        <color rgb="FFE6F0F7"/>
      </left>
      <right style="medium">
        <color rgb="FFE9F5F6"/>
      </right>
      <top/>
      <bottom style="thick">
        <color rgb="FFE6F0F7"/>
      </bottom>
      <diagonal/>
    </border>
    <border>
      <left style="medium">
        <color rgb="FFE9F5F6"/>
      </left>
      <right style="medium">
        <color rgb="FFE9F5F6"/>
      </right>
      <top/>
      <bottom style="thick">
        <color rgb="FFE6F0F7"/>
      </bottom>
      <diagonal/>
    </border>
    <border>
      <left style="medium">
        <color rgb="FFE9F5F6"/>
      </left>
      <right style="thick">
        <color rgb="FFE6F0F7"/>
      </right>
      <top/>
      <bottom style="thick">
        <color rgb="FFE6F0F7"/>
      </bottom>
      <diagonal/>
    </border>
    <border>
      <left style="thin">
        <color theme="0" tint="-0.249977111117893"/>
      </left>
      <right/>
      <top style="medium">
        <color theme="0" tint="-0.249977111117893"/>
      </top>
      <bottom style="thin">
        <color theme="0" tint="-0.249977111117893"/>
      </bottom>
      <diagonal/>
    </border>
    <border>
      <left/>
      <right style="medium">
        <color theme="0" tint="-0.249977111117893"/>
      </right>
      <top style="medium">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right/>
      <top style="medium">
        <color indexed="64"/>
      </top>
      <bottom style="thin">
        <color theme="4"/>
      </bottom>
      <diagonal/>
    </border>
    <border>
      <left/>
      <right/>
      <top style="thin">
        <color theme="4"/>
      </top>
      <bottom style="thin">
        <color rgb="FFB0A755"/>
      </bottom>
      <diagonal/>
    </border>
    <border>
      <left/>
      <right/>
      <top style="thin">
        <color rgb="FFB0A755"/>
      </top>
      <bottom style="thin">
        <color rgb="FFB0A755"/>
      </bottom>
      <diagonal/>
    </border>
    <border>
      <left/>
      <right/>
      <top style="thin">
        <color rgb="FFCAC596"/>
      </top>
      <bottom style="thin">
        <color rgb="FFCAC596"/>
      </bottom>
      <diagonal/>
    </border>
    <border>
      <left/>
      <right/>
      <top style="thin">
        <color rgb="FFCAC596"/>
      </top>
      <bottom/>
      <diagonal/>
    </border>
    <border>
      <left style="thin">
        <color theme="0" tint="-0.249977111117893"/>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style="thin">
        <color indexed="64"/>
      </left>
      <right/>
      <top style="medium">
        <color auto="1"/>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theme="4"/>
      </left>
      <right style="thin">
        <color theme="4"/>
      </right>
      <top/>
      <bottom/>
      <diagonal/>
    </border>
    <border>
      <left style="thin">
        <color theme="2"/>
      </left>
      <right style="thin">
        <color theme="2"/>
      </right>
      <top style="thin">
        <color theme="4"/>
      </top>
      <bottom/>
      <diagonal/>
    </border>
    <border>
      <left style="thin">
        <color theme="2"/>
      </left>
      <right style="thin">
        <color theme="2"/>
      </right>
      <top/>
      <bottom/>
      <diagonal/>
    </border>
    <border>
      <left style="thin">
        <color theme="2"/>
      </left>
      <right style="thin">
        <color theme="2"/>
      </right>
      <top/>
      <bottom style="thin">
        <color theme="2"/>
      </bottom>
      <diagonal/>
    </border>
    <border>
      <left/>
      <right style="thin">
        <color rgb="FF5C8A85"/>
      </right>
      <top style="thin">
        <color rgb="FF5C8A85"/>
      </top>
      <bottom style="thin">
        <color rgb="FF5C8A85"/>
      </bottom>
      <diagonal/>
    </border>
    <border>
      <left/>
      <right style="thin">
        <color rgb="FF5C8A85"/>
      </right>
      <top style="thin">
        <color rgb="FF5C8A85"/>
      </top>
      <bottom/>
      <diagonal/>
    </border>
    <border>
      <left/>
      <right style="thin">
        <color rgb="FF5C8A85"/>
      </right>
      <top style="thin">
        <color rgb="FF5C8A85"/>
      </top>
      <bottom style="medium">
        <color indexed="64"/>
      </bottom>
      <diagonal/>
    </border>
    <border>
      <left style="medium">
        <color indexed="64"/>
      </left>
      <right style="thin">
        <color rgb="FF5C8A85"/>
      </right>
      <top style="thin">
        <color rgb="FF5C8A85"/>
      </top>
      <bottom style="thin">
        <color rgb="FF5C8A85"/>
      </bottom>
      <diagonal/>
    </border>
    <border>
      <left style="medium">
        <color indexed="64"/>
      </left>
      <right/>
      <top style="thin">
        <color auto="1"/>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thin">
        <color theme="2"/>
      </top>
      <bottom style="thin">
        <color theme="2"/>
      </bottom>
      <diagonal/>
    </border>
    <border>
      <left/>
      <right/>
      <top style="thin">
        <color rgb="FF000000"/>
      </top>
      <bottom style="medium">
        <color rgb="FF000000"/>
      </bottom>
      <diagonal/>
    </border>
    <border>
      <left/>
      <right/>
      <top style="medium">
        <color rgb="FF000000"/>
      </top>
      <bottom style="dotted">
        <color theme="0" tint="-0.249977111117893"/>
      </bottom>
      <diagonal/>
    </border>
    <border>
      <left style="medium">
        <color indexed="64"/>
      </left>
      <right style="thin">
        <color theme="4"/>
      </right>
      <top/>
      <bottom style="thin">
        <color indexed="64"/>
      </bottom>
      <diagonal/>
    </border>
    <border>
      <left style="medium">
        <color indexed="64"/>
      </left>
      <right style="thin">
        <color theme="4"/>
      </right>
      <top style="thin">
        <color indexed="64"/>
      </top>
      <bottom style="thin">
        <color indexed="64"/>
      </bottom>
      <diagonal/>
    </border>
    <border>
      <left/>
      <right style="thin">
        <color rgb="FF5C8A85"/>
      </right>
      <top style="thin">
        <color theme="4"/>
      </top>
      <bottom style="thin">
        <color rgb="FF5C8A85"/>
      </bottom>
      <diagonal/>
    </border>
    <border>
      <left/>
      <right style="thin">
        <color theme="0"/>
      </right>
      <top/>
      <bottom/>
      <diagonal/>
    </border>
    <border>
      <left style="thin">
        <color theme="0"/>
      </left>
      <right/>
      <top/>
      <bottom/>
      <diagonal/>
    </border>
    <border>
      <left style="thin">
        <color rgb="FF053D5F"/>
      </left>
      <right style="thin">
        <color rgb="FF053D5F"/>
      </right>
      <top style="thin">
        <color rgb="FF053D5F"/>
      </top>
      <bottom style="thin">
        <color rgb="FF053D5F"/>
      </bottom>
      <diagonal/>
    </border>
    <border>
      <left style="thin">
        <color rgb="FF053D5F"/>
      </left>
      <right/>
      <top style="thin">
        <color rgb="FF053D5F"/>
      </top>
      <bottom style="thin">
        <color rgb="FF053D5F"/>
      </bottom>
      <diagonal/>
    </border>
    <border>
      <left style="medium">
        <color indexed="64"/>
      </left>
      <right style="medium">
        <color indexed="64"/>
      </right>
      <top/>
      <bottom style="thin">
        <color indexed="64"/>
      </bottom>
      <diagonal/>
    </border>
    <border>
      <left style="thin">
        <color indexed="64"/>
      </left>
      <right style="thin">
        <color rgb="FF053D5F"/>
      </right>
      <top style="thin">
        <color rgb="FF053D5F"/>
      </top>
      <bottom style="thin">
        <color rgb="FF053D5F"/>
      </bottom>
      <diagonal/>
    </border>
    <border>
      <left style="thin">
        <color auto="1"/>
      </left>
      <right style="thin">
        <color auto="1"/>
      </right>
      <top style="medium">
        <color auto="1"/>
      </top>
      <bottom/>
      <diagonal/>
    </border>
  </borders>
  <cellStyleXfs count="91">
    <xf numFmtId="0" fontId="0" fillId="0" borderId="0"/>
    <xf numFmtId="0" fontId="2" fillId="0" borderId="0" applyNumberFormat="0" applyFill="0" applyBorder="0" applyAlignment="0" applyProtection="0"/>
    <xf numFmtId="0" fontId="7" fillId="0" borderId="0">
      <alignment vertical="top"/>
    </xf>
    <xf numFmtId="165" fontId="5" fillId="0" borderId="0" applyFont="0" applyFill="0" applyBorder="0" applyAlignment="0" applyProtection="0"/>
    <xf numFmtId="0" fontId="5" fillId="6" borderId="0" applyNumberFormat="0" applyBorder="0" applyAlignment="0" applyProtection="0"/>
    <xf numFmtId="0" fontId="5" fillId="0" borderId="0"/>
    <xf numFmtId="9" fontId="5" fillId="0" borderId="0" applyFont="0" applyFill="0" applyBorder="0" applyAlignment="0" applyProtection="0"/>
    <xf numFmtId="170" fontId="3" fillId="0" borderId="0"/>
    <xf numFmtId="165" fontId="3" fillId="0" borderId="0" applyFont="0" applyFill="0" applyBorder="0" applyAlignment="0" applyProtection="0"/>
    <xf numFmtId="164" fontId="3" fillId="0" borderId="0" applyFont="0" applyFill="0" applyBorder="0" applyAlignment="0" applyProtection="0"/>
    <xf numFmtId="0" fontId="26" fillId="0" borderId="0"/>
    <xf numFmtId="165" fontId="27" fillId="0" borderId="0" applyFont="0" applyFill="0" applyBorder="0" applyAlignment="0" applyProtection="0"/>
    <xf numFmtId="9" fontId="27" fillId="0" borderId="0" applyFont="0" applyFill="0" applyBorder="0" applyAlignment="0" applyProtection="0"/>
    <xf numFmtId="0" fontId="29" fillId="0" borderId="0"/>
    <xf numFmtId="171" fontId="3" fillId="0" borderId="0"/>
    <xf numFmtId="165" fontId="5" fillId="0" borderId="0" applyFont="0" applyFill="0" applyBorder="0" applyAlignment="0" applyProtection="0"/>
    <xf numFmtId="9" fontId="3" fillId="0" borderId="0" applyFont="0" applyFill="0" applyBorder="0" applyAlignment="0" applyProtection="0"/>
    <xf numFmtId="0" fontId="5" fillId="0" borderId="0"/>
    <xf numFmtId="0" fontId="34" fillId="0" borderId="0" applyNumberFormat="0" applyProtection="0">
      <alignment horizontal="left"/>
    </xf>
    <xf numFmtId="0" fontId="35" fillId="0" borderId="18" applyNumberFormat="0" applyFont="0" applyProtection="0">
      <alignment wrapText="1"/>
    </xf>
    <xf numFmtId="0" fontId="36" fillId="0" borderId="19" applyNumberFormat="0" applyProtection="0">
      <alignment wrapText="1"/>
    </xf>
    <xf numFmtId="0" fontId="36" fillId="0" borderId="15" applyNumberFormat="0" applyProtection="0">
      <alignment wrapText="1"/>
    </xf>
    <xf numFmtId="0" fontId="35" fillId="0" borderId="20" applyNumberFormat="0" applyProtection="0">
      <alignment vertical="top" wrapText="1"/>
    </xf>
    <xf numFmtId="165" fontId="21" fillId="0" borderId="0" applyFont="0" applyFill="0" applyBorder="0" applyAlignment="0" applyProtection="0"/>
    <xf numFmtId="0" fontId="37" fillId="0" borderId="0" applyNumberFormat="0" applyFill="0" applyBorder="0" applyAlignment="0" applyProtection="0">
      <alignment vertical="top"/>
      <protection locked="0"/>
    </xf>
    <xf numFmtId="0" fontId="3" fillId="0" borderId="0"/>
    <xf numFmtId="0" fontId="3" fillId="0" borderId="0"/>
    <xf numFmtId="0" fontId="5" fillId="0" borderId="0"/>
    <xf numFmtId="0" fontId="3" fillId="0" borderId="0"/>
    <xf numFmtId="0" fontId="7" fillId="0" borderId="0">
      <alignment vertical="top"/>
    </xf>
    <xf numFmtId="165" fontId="7" fillId="0" borderId="0" applyFont="0" applyFill="0" applyBorder="0" applyAlignment="0" applyProtection="0">
      <alignment vertical="center"/>
    </xf>
    <xf numFmtId="0" fontId="21" fillId="0" borderId="0"/>
    <xf numFmtId="0" fontId="47" fillId="0" borderId="0" applyNumberFormat="0" applyFill="0" applyBorder="0" applyAlignment="0" applyProtection="0"/>
    <xf numFmtId="0" fontId="52" fillId="0" borderId="0" applyNumberFormat="0" applyFill="0" applyBorder="0" applyAlignment="0" applyProtection="0"/>
    <xf numFmtId="0" fontId="53" fillId="0" borderId="15" applyNumberFormat="0" applyFill="0" applyAlignment="0" applyProtection="0"/>
    <xf numFmtId="0" fontId="54" fillId="0" borderId="24" applyNumberFormat="0" applyFill="0" applyAlignment="0" applyProtection="0"/>
    <xf numFmtId="0" fontId="55" fillId="0" borderId="25" applyNumberFormat="0" applyFill="0" applyAlignment="0" applyProtection="0"/>
    <xf numFmtId="0" fontId="55" fillId="0" borderId="0" applyNumberFormat="0" applyFill="0" applyBorder="0" applyAlignment="0" applyProtection="0"/>
    <xf numFmtId="0" fontId="56" fillId="21" borderId="0" applyNumberFormat="0" applyBorder="0" applyAlignment="0" applyProtection="0"/>
    <xf numFmtId="0" fontId="57" fillId="22" borderId="0" applyNumberFormat="0" applyBorder="0" applyAlignment="0" applyProtection="0"/>
    <xf numFmtId="0" fontId="58" fillId="24" borderId="26" applyNumberFormat="0" applyAlignment="0" applyProtection="0"/>
    <xf numFmtId="0" fontId="59" fillId="25" borderId="27" applyNumberFormat="0" applyAlignment="0" applyProtection="0"/>
    <xf numFmtId="0" fontId="60" fillId="25" borderId="26" applyNumberFormat="0" applyAlignment="0" applyProtection="0"/>
    <xf numFmtId="0" fontId="61" fillId="0" borderId="28" applyNumberFormat="0" applyFill="0" applyAlignment="0" applyProtection="0"/>
    <xf numFmtId="0" fontId="39" fillId="26" borderId="29" applyNumberFormat="0" applyAlignment="0" applyProtection="0"/>
    <xf numFmtId="0" fontId="62" fillId="0" borderId="0" applyNumberFormat="0" applyFill="0" applyBorder="0" applyAlignment="0" applyProtection="0"/>
    <xf numFmtId="0" fontId="5" fillId="27" borderId="30" applyNumberFormat="0" applyFont="0" applyAlignment="0" applyProtection="0"/>
    <xf numFmtId="0" fontId="63" fillId="0" borderId="0" applyNumberFormat="0" applyFill="0" applyBorder="0" applyAlignment="0" applyProtection="0"/>
    <xf numFmtId="0" fontId="6" fillId="0" borderId="31" applyNumberFormat="0" applyFill="0" applyAlignment="0" applyProtection="0"/>
    <xf numFmtId="0" fontId="40" fillId="28" borderId="0" applyNumberFormat="0" applyBorder="0" applyAlignment="0" applyProtection="0"/>
    <xf numFmtId="0" fontId="5" fillId="29" borderId="0" applyNumberFormat="0" applyBorder="0" applyAlignment="0" applyProtection="0"/>
    <xf numFmtId="0" fontId="4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0"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40"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40"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40"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3" fillId="0" borderId="0"/>
    <xf numFmtId="0" fontId="75" fillId="23"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0" fillId="38" borderId="0" applyNumberFormat="0" applyBorder="0" applyAlignment="0" applyProtection="0"/>
    <xf numFmtId="0" fontId="40" fillId="42" borderId="0" applyNumberFormat="0" applyBorder="0" applyAlignment="0" applyProtection="0"/>
    <xf numFmtId="0" fontId="40" fillId="46" borderId="0" applyNumberFormat="0" applyBorder="0" applyAlignment="0" applyProtection="0"/>
    <xf numFmtId="0" fontId="40" fillId="50" borderId="0" applyNumberFormat="0" applyBorder="0" applyAlignment="0" applyProtection="0"/>
    <xf numFmtId="0" fontId="81" fillId="0" borderId="0"/>
    <xf numFmtId="0" fontId="21" fillId="0" borderId="0"/>
    <xf numFmtId="0" fontId="21" fillId="0" borderId="0"/>
    <xf numFmtId="43" fontId="5" fillId="0" borderId="0" applyFont="0" applyFill="0" applyBorder="0" applyAlignment="0" applyProtection="0"/>
    <xf numFmtId="0" fontId="239" fillId="0" borderId="0"/>
    <xf numFmtId="0" fontId="242" fillId="0" borderId="0"/>
    <xf numFmtId="43" fontId="5"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alignment vertical="center"/>
    </xf>
    <xf numFmtId="43" fontId="5" fillId="0" borderId="0" applyFont="0" applyFill="0" applyBorder="0" applyAlignment="0" applyProtection="0"/>
    <xf numFmtId="0" fontId="164" fillId="0" borderId="0"/>
    <xf numFmtId="0" fontId="243" fillId="124" borderId="0"/>
    <xf numFmtId="0" fontId="244" fillId="0" borderId="0">
      <alignment vertical="center"/>
    </xf>
    <xf numFmtId="197" fontId="242" fillId="0" borderId="0"/>
  </cellStyleXfs>
  <cellXfs count="2168">
    <xf numFmtId="0" fontId="0" fillId="0" borderId="0" xfId="0"/>
    <xf numFmtId="0" fontId="0" fillId="0" borderId="0" xfId="0" applyAlignment="1">
      <alignment horizontal="center" vertical="center"/>
    </xf>
    <xf numFmtId="0" fontId="10" fillId="0" borderId="0" xfId="0" applyFont="1"/>
    <xf numFmtId="0" fontId="0" fillId="0" borderId="0" xfId="0" applyAlignment="1">
      <alignment horizontal="center" vertical="center" wrapText="1"/>
    </xf>
    <xf numFmtId="0" fontId="15" fillId="0" borderId="0" xfId="0" applyFont="1"/>
    <xf numFmtId="0" fontId="6" fillId="0" borderId="0" xfId="0" applyFont="1"/>
    <xf numFmtId="0" fontId="17" fillId="0" borderId="0" xfId="0" applyFont="1"/>
    <xf numFmtId="0" fontId="0" fillId="5" borderId="0" xfId="0" applyFill="1"/>
    <xf numFmtId="0" fontId="0" fillId="4" borderId="1" xfId="0" applyFill="1" applyBorder="1"/>
    <xf numFmtId="4" fontId="0" fillId="0" borderId="0" xfId="0" applyNumberFormat="1" applyAlignment="1">
      <alignment horizontal="center" vertical="center"/>
    </xf>
    <xf numFmtId="0" fontId="2" fillId="0" borderId="0" xfId="1"/>
    <xf numFmtId="0" fontId="19" fillId="0" borderId="0" xfId="0" applyFont="1"/>
    <xf numFmtId="0" fontId="31" fillId="0" borderId="0" xfId="0" applyFont="1"/>
    <xf numFmtId="0" fontId="31" fillId="0" borderId="0" xfId="0" applyFont="1" applyAlignment="1">
      <alignment horizontal="center" vertical="center"/>
    </xf>
    <xf numFmtId="0" fontId="31" fillId="0" borderId="0" xfId="0" applyFont="1" applyAlignment="1">
      <alignment horizontal="center" vertical="center" wrapText="1"/>
    </xf>
    <xf numFmtId="0" fontId="32" fillId="0" borderId="0" xfId="0" applyFont="1"/>
    <xf numFmtId="0" fontId="32" fillId="0" borderId="0" xfId="0" applyFont="1" applyAlignment="1">
      <alignment horizontal="center" vertical="center"/>
    </xf>
    <xf numFmtId="0" fontId="32" fillId="0" borderId="0" xfId="0" applyFont="1" applyAlignment="1">
      <alignment horizontal="center" vertical="center" wrapText="1"/>
    </xf>
    <xf numFmtId="10" fontId="0" fillId="0" borderId="0" xfId="0" applyNumberFormat="1" applyAlignment="1">
      <alignment horizontal="center" vertical="center" wrapText="1"/>
    </xf>
    <xf numFmtId="9" fontId="0" fillId="0" borderId="0" xfId="0" applyNumberFormat="1" applyAlignment="1">
      <alignment horizontal="center" vertical="center" wrapText="1"/>
    </xf>
    <xf numFmtId="0" fontId="33" fillId="0" borderId="0" xfId="0" applyFont="1" applyAlignment="1">
      <alignment horizontal="left" vertical="center" wrapText="1"/>
    </xf>
    <xf numFmtId="165" fontId="0" fillId="5" borderId="0" xfId="3" applyFont="1" applyFill="1"/>
    <xf numFmtId="0" fontId="1" fillId="0" borderId="0" xfId="0" applyFont="1"/>
    <xf numFmtId="0" fontId="0" fillId="0" borderId="0" xfId="0" applyProtection="1">
      <protection locked="0"/>
    </xf>
    <xf numFmtId="0" fontId="50" fillId="0" borderId="0" xfId="0" applyFont="1"/>
    <xf numFmtId="0" fontId="15" fillId="0" borderId="0" xfId="0" applyFont="1" applyAlignment="1">
      <alignment vertical="center"/>
    </xf>
    <xf numFmtId="0" fontId="41" fillId="10" borderId="5" xfId="0" applyFont="1" applyFill="1" applyBorder="1" applyAlignment="1">
      <alignment horizontal="center" vertical="center"/>
    </xf>
    <xf numFmtId="175" fontId="41" fillId="10" borderId="6" xfId="3" applyNumberFormat="1" applyFont="1" applyFill="1" applyBorder="1" applyAlignment="1">
      <alignment horizontal="center" vertical="center"/>
    </xf>
    <xf numFmtId="0" fontId="9" fillId="0" borderId="0" xfId="0" applyFont="1" applyAlignment="1">
      <alignment horizontal="center" vertical="center"/>
    </xf>
    <xf numFmtId="0" fontId="13" fillId="51" borderId="1" xfId="0" applyFont="1" applyFill="1" applyBorder="1"/>
    <xf numFmtId="0" fontId="40" fillId="51" borderId="1" xfId="0" applyFont="1" applyFill="1" applyBorder="1" applyAlignment="1">
      <alignment horizontal="right"/>
    </xf>
    <xf numFmtId="0" fontId="13" fillId="51" borderId="1" xfId="0" applyFont="1" applyFill="1" applyBorder="1" applyAlignment="1">
      <alignment horizontal="left"/>
    </xf>
    <xf numFmtId="0" fontId="40" fillId="52" borderId="1" xfId="0" applyFont="1" applyFill="1" applyBorder="1" applyAlignment="1">
      <alignment horizontal="right"/>
    </xf>
    <xf numFmtId="0" fontId="13" fillId="52" borderId="1" xfId="0" applyFont="1" applyFill="1" applyBorder="1"/>
    <xf numFmtId="0" fontId="39" fillId="53" borderId="1" xfId="0" applyFont="1" applyFill="1" applyBorder="1"/>
    <xf numFmtId="0" fontId="39" fillId="53" borderId="1" xfId="0" applyFont="1" applyFill="1" applyBorder="1" applyAlignment="1">
      <alignment wrapText="1"/>
    </xf>
    <xf numFmtId="0" fontId="39" fillId="20" borderId="1" xfId="0" applyFont="1" applyFill="1" applyBorder="1"/>
    <xf numFmtId="0" fontId="0" fillId="0" borderId="1" xfId="0" applyBorder="1"/>
    <xf numFmtId="167" fontId="23" fillId="0" borderId="1" xfId="3" applyNumberFormat="1" applyFont="1" applyFill="1" applyBorder="1" applyAlignment="1">
      <alignment horizontal="center"/>
    </xf>
    <xf numFmtId="167" fontId="42" fillId="0" borderId="1" xfId="3" applyNumberFormat="1" applyFont="1" applyFill="1" applyBorder="1" applyAlignment="1">
      <alignment horizontal="center"/>
    </xf>
    <xf numFmtId="167" fontId="23" fillId="0" borderId="1" xfId="3" applyNumberFormat="1" applyFont="1" applyBorder="1" applyAlignment="1">
      <alignment horizontal="center"/>
    </xf>
    <xf numFmtId="0" fontId="43" fillId="8" borderId="1" xfId="0" applyFont="1" applyFill="1" applyBorder="1" applyAlignment="1">
      <alignment wrapText="1"/>
    </xf>
    <xf numFmtId="0" fontId="43" fillId="8" borderId="1" xfId="0" applyFont="1" applyFill="1" applyBorder="1"/>
    <xf numFmtId="3" fontId="43" fillId="8" borderId="1" xfId="0" applyNumberFormat="1" applyFont="1" applyFill="1" applyBorder="1" applyAlignment="1">
      <alignment horizontal="center"/>
    </xf>
    <xf numFmtId="167" fontId="23" fillId="0" borderId="1" xfId="3" quotePrefix="1" applyNumberFormat="1" applyFont="1" applyFill="1" applyBorder="1" applyAlignment="1">
      <alignment horizontal="center"/>
    </xf>
    <xf numFmtId="0" fontId="43" fillId="20" borderId="1" xfId="0" applyFont="1" applyFill="1" applyBorder="1"/>
    <xf numFmtId="0" fontId="69" fillId="0" borderId="0" xfId="0" applyFont="1"/>
    <xf numFmtId="0" fontId="0" fillId="56" borderId="1" xfId="0" applyFill="1" applyBorder="1" applyAlignment="1">
      <alignment horizontal="right" wrapText="1"/>
    </xf>
    <xf numFmtId="0" fontId="0" fillId="4" borderId="1" xfId="0" applyFill="1" applyBorder="1" applyAlignment="1">
      <alignment horizontal="center" vertical="center"/>
    </xf>
    <xf numFmtId="0" fontId="6" fillId="5" borderId="0" xfId="0" applyFont="1" applyFill="1"/>
    <xf numFmtId="174" fontId="13" fillId="8" borderId="1" xfId="6" applyNumberFormat="1" applyFont="1" applyFill="1" applyBorder="1" applyAlignment="1">
      <alignment horizontal="center"/>
    </xf>
    <xf numFmtId="9" fontId="0" fillId="5" borderId="0" xfId="6" applyFont="1" applyFill="1"/>
    <xf numFmtId="0" fontId="6" fillId="60" borderId="35" xfId="0" applyFont="1" applyFill="1" applyBorder="1" applyAlignment="1">
      <alignment vertical="center" wrapText="1"/>
    </xf>
    <xf numFmtId="0" fontId="73" fillId="60" borderId="36" xfId="0" applyFont="1" applyFill="1" applyBorder="1" applyAlignment="1">
      <alignment vertical="center" wrapText="1"/>
    </xf>
    <xf numFmtId="0" fontId="0" fillId="60" borderId="36" xfId="0" applyFill="1" applyBorder="1" applyAlignment="1">
      <alignment vertical="top" wrapText="1"/>
    </xf>
    <xf numFmtId="0" fontId="0" fillId="60" borderId="37" xfId="0" applyFill="1" applyBorder="1" applyAlignment="1">
      <alignment vertical="top" wrapText="1"/>
    </xf>
    <xf numFmtId="0" fontId="73" fillId="60" borderId="45" xfId="0" applyFont="1" applyFill="1" applyBorder="1" applyAlignment="1">
      <alignment vertical="center" wrapText="1"/>
    </xf>
    <xf numFmtId="0" fontId="73" fillId="60" borderId="34" xfId="0" applyFont="1" applyFill="1" applyBorder="1" applyAlignment="1">
      <alignment vertical="center" wrapText="1"/>
    </xf>
    <xf numFmtId="0" fontId="0" fillId="60" borderId="36" xfId="0" applyFill="1" applyBorder="1" applyAlignment="1">
      <alignment horizontal="center" vertical="center" wrapText="1"/>
    </xf>
    <xf numFmtId="2" fontId="3" fillId="54" borderId="0" xfId="74" applyNumberFormat="1" applyFont="1" applyFill="1" applyAlignment="1">
      <alignment vertical="center"/>
    </xf>
    <xf numFmtId="2" fontId="4" fillId="4" borderId="54" xfId="74" applyNumberFormat="1" applyFont="1" applyFill="1" applyBorder="1" applyAlignment="1">
      <alignment horizontal="center" vertical="center" wrapText="1"/>
    </xf>
    <xf numFmtId="2" fontId="4" fillId="4" borderId="55" xfId="74" applyNumberFormat="1" applyFont="1" applyFill="1" applyBorder="1" applyAlignment="1">
      <alignment horizontal="center" vertical="center" wrapText="1"/>
    </xf>
    <xf numFmtId="2" fontId="4" fillId="4" borderId="56" xfId="74" applyNumberFormat="1" applyFont="1" applyFill="1" applyBorder="1" applyAlignment="1">
      <alignment horizontal="center" vertical="center" wrapText="1"/>
    </xf>
    <xf numFmtId="177" fontId="3" fillId="0" borderId="39" xfId="0" applyNumberFormat="1" applyFont="1" applyBorder="1"/>
    <xf numFmtId="165" fontId="3" fillId="0" borderId="1" xfId="3" applyFont="1" applyBorder="1" applyAlignment="1">
      <alignment horizontal="right"/>
    </xf>
    <xf numFmtId="165" fontId="82" fillId="0" borderId="1" xfId="3" applyFont="1" applyBorder="1" applyAlignment="1">
      <alignment horizontal="right"/>
    </xf>
    <xf numFmtId="2" fontId="3" fillId="0" borderId="1" xfId="0" applyNumberFormat="1" applyFont="1" applyBorder="1" applyAlignment="1">
      <alignment horizontal="right"/>
    </xf>
    <xf numFmtId="2" fontId="3" fillId="0" borderId="41" xfId="0" applyNumberFormat="1" applyFont="1" applyBorder="1" applyAlignment="1">
      <alignment horizontal="right"/>
    </xf>
    <xf numFmtId="0" fontId="17" fillId="0" borderId="11" xfId="0" applyFont="1" applyBorder="1"/>
    <xf numFmtId="0" fontId="6" fillId="63" borderId="1" xfId="0" applyFont="1" applyFill="1" applyBorder="1" applyAlignment="1">
      <alignment wrapText="1"/>
    </xf>
    <xf numFmtId="0" fontId="6" fillId="63" borderId="11" xfId="0" applyFont="1" applyFill="1" applyBorder="1" applyAlignment="1">
      <alignment wrapText="1"/>
    </xf>
    <xf numFmtId="0" fontId="6" fillId="63" borderId="5" xfId="0" applyFont="1" applyFill="1" applyBorder="1" applyAlignment="1">
      <alignment wrapText="1"/>
    </xf>
    <xf numFmtId="167" fontId="0" fillId="13" borderId="1" xfId="3" applyNumberFormat="1" applyFont="1" applyFill="1" applyBorder="1"/>
    <xf numFmtId="178" fontId="0" fillId="13" borderId="1" xfId="0" applyNumberFormat="1" applyFill="1" applyBorder="1"/>
    <xf numFmtId="0" fontId="0" fillId="13" borderId="3" xfId="0" applyFill="1" applyBorder="1"/>
    <xf numFmtId="165" fontId="0" fillId="13" borderId="2" xfId="3" applyFont="1" applyFill="1" applyBorder="1"/>
    <xf numFmtId="9" fontId="0" fillId="9" borderId="2" xfId="3" applyNumberFormat="1" applyFont="1" applyFill="1" applyBorder="1"/>
    <xf numFmtId="167" fontId="0" fillId="14" borderId="1" xfId="3" applyNumberFormat="1" applyFont="1" applyFill="1" applyBorder="1"/>
    <xf numFmtId="168" fontId="0" fillId="14" borderId="1" xfId="3" applyNumberFormat="1" applyFont="1" applyFill="1" applyBorder="1"/>
    <xf numFmtId="168" fontId="0" fillId="14" borderId="1" xfId="0" applyNumberFormat="1" applyFill="1" applyBorder="1"/>
    <xf numFmtId="0" fontId="0" fillId="9" borderId="0" xfId="0" applyFill="1"/>
    <xf numFmtId="9" fontId="0" fillId="64" borderId="57" xfId="0" applyNumberFormat="1" applyFill="1" applyBorder="1"/>
    <xf numFmtId="168" fontId="0" fillId="64" borderId="57" xfId="3" applyNumberFormat="1" applyFont="1" applyFill="1" applyBorder="1"/>
    <xf numFmtId="0" fontId="0" fillId="0" borderId="57" xfId="0" applyBorder="1"/>
    <xf numFmtId="167" fontId="0" fillId="0" borderId="0" xfId="0" applyNumberFormat="1"/>
    <xf numFmtId="0" fontId="0" fillId="66" borderId="1" xfId="0" applyFill="1" applyBorder="1"/>
    <xf numFmtId="167" fontId="0" fillId="66" borderId="1" xfId="0" applyNumberFormat="1" applyFill="1" applyBorder="1"/>
    <xf numFmtId="167" fontId="0" fillId="66" borderId="7" xfId="0" applyNumberFormat="1" applyFill="1" applyBorder="1"/>
    <xf numFmtId="168" fontId="6" fillId="9" borderId="1" xfId="3" applyNumberFormat="1" applyFont="1" applyFill="1" applyBorder="1"/>
    <xf numFmtId="0" fontId="6" fillId="4" borderId="1" xfId="0" applyFont="1" applyFill="1" applyBorder="1" applyAlignment="1">
      <alignment horizontal="center" vertical="center" wrapText="1"/>
    </xf>
    <xf numFmtId="0" fontId="9" fillId="0" borderId="0" xfId="0" applyFont="1" applyAlignment="1">
      <alignment horizontal="center" vertical="center" wrapText="1"/>
    </xf>
    <xf numFmtId="0" fontId="8" fillId="0" borderId="0" xfId="0" applyFont="1"/>
    <xf numFmtId="0" fontId="16" fillId="5" borderId="0" xfId="0" applyFont="1" applyFill="1"/>
    <xf numFmtId="0" fontId="13" fillId="4" borderId="1" xfId="0" applyFont="1" applyFill="1" applyBorder="1" applyAlignment="1">
      <alignment horizontal="center" vertical="center" wrapText="1"/>
    </xf>
    <xf numFmtId="174" fontId="23" fillId="0" borderId="1" xfId="6" applyNumberFormat="1" applyFont="1" applyFill="1" applyBorder="1" applyAlignment="1">
      <alignment horizontal="center"/>
    </xf>
    <xf numFmtId="0" fontId="41" fillId="52" borderId="1" xfId="0" applyFont="1" applyFill="1" applyBorder="1" applyAlignment="1">
      <alignment horizontal="center" vertical="center"/>
    </xf>
    <xf numFmtId="0" fontId="0" fillId="51" borderId="1" xfId="0" applyFill="1" applyBorder="1"/>
    <xf numFmtId="0" fontId="39" fillId="51" borderId="1" xfId="0" applyFont="1" applyFill="1" applyBorder="1" applyAlignment="1">
      <alignment wrapText="1"/>
    </xf>
    <xf numFmtId="167" fontId="13" fillId="51" borderId="1" xfId="3" applyNumberFormat="1" applyFont="1" applyFill="1" applyBorder="1" applyAlignment="1">
      <alignment horizontal="center"/>
    </xf>
    <xf numFmtId="174" fontId="13" fillId="51" borderId="1" xfId="6" applyNumberFormat="1" applyFont="1" applyFill="1" applyBorder="1" applyAlignment="1">
      <alignment horizontal="center"/>
    </xf>
    <xf numFmtId="0" fontId="43" fillId="51" borderId="1" xfId="0" applyFont="1" applyFill="1" applyBorder="1"/>
    <xf numFmtId="0" fontId="39" fillId="52" borderId="1" xfId="0" applyFont="1" applyFill="1" applyBorder="1" applyAlignment="1">
      <alignment horizontal="center" vertical="center"/>
    </xf>
    <xf numFmtId="167" fontId="39" fillId="52" borderId="1" xfId="3" applyNumberFormat="1" applyFont="1" applyFill="1" applyBorder="1" applyAlignment="1">
      <alignment horizontal="center"/>
    </xf>
    <xf numFmtId="174" fontId="39" fillId="52" borderId="1" xfId="6" applyNumberFormat="1" applyFont="1" applyFill="1" applyBorder="1" applyAlignment="1">
      <alignment horizontal="center"/>
    </xf>
    <xf numFmtId="0" fontId="0" fillId="8" borderId="1" xfId="0" applyFill="1" applyBorder="1"/>
    <xf numFmtId="0" fontId="39" fillId="8" borderId="1" xfId="0" applyFont="1" applyFill="1" applyBorder="1"/>
    <xf numFmtId="167" fontId="13" fillId="8" borderId="1" xfId="3" applyNumberFormat="1" applyFont="1" applyFill="1" applyBorder="1" applyAlignment="1">
      <alignment horizontal="center"/>
    </xf>
    <xf numFmtId="0" fontId="41" fillId="52" borderId="1" xfId="0" applyFont="1" applyFill="1" applyBorder="1" applyAlignment="1">
      <alignment horizontal="left" vertical="center"/>
    </xf>
    <xf numFmtId="0" fontId="41" fillId="8" borderId="1" xfId="0" applyFont="1" applyFill="1" applyBorder="1"/>
    <xf numFmtId="0" fontId="41" fillId="51" borderId="1" xfId="0" applyFont="1" applyFill="1" applyBorder="1"/>
    <xf numFmtId="0" fontId="0" fillId="0" borderId="5" xfId="0" applyBorder="1"/>
    <xf numFmtId="0" fontId="13" fillId="52" borderId="5" xfId="0" applyFont="1" applyFill="1" applyBorder="1"/>
    <xf numFmtId="167" fontId="23" fillId="0" borderId="5" xfId="3" applyNumberFormat="1" applyFont="1" applyFill="1" applyBorder="1" applyAlignment="1">
      <alignment horizontal="center"/>
    </xf>
    <xf numFmtId="0" fontId="0" fillId="0" borderId="7" xfId="0" applyBorder="1"/>
    <xf numFmtId="0" fontId="43" fillId="8" borderId="7" xfId="0" applyFont="1" applyFill="1" applyBorder="1" applyAlignment="1">
      <alignment wrapText="1"/>
    </xf>
    <xf numFmtId="174" fontId="13" fillId="8" borderId="7" xfId="6" applyNumberFormat="1" applyFont="1" applyFill="1" applyBorder="1" applyAlignment="1">
      <alignment horizontal="center"/>
    </xf>
    <xf numFmtId="0" fontId="13" fillId="51" borderId="1" xfId="0" applyFont="1" applyFill="1" applyBorder="1" applyAlignment="1">
      <alignment wrapText="1"/>
    </xf>
    <xf numFmtId="0" fontId="0" fillId="2" borderId="1" xfId="0" applyFill="1" applyBorder="1"/>
    <xf numFmtId="0" fontId="0" fillId="58" borderId="1" xfId="0" applyFill="1" applyBorder="1"/>
    <xf numFmtId="167" fontId="23" fillId="58" borderId="1" xfId="3" applyNumberFormat="1" applyFont="1" applyFill="1" applyBorder="1" applyAlignment="1">
      <alignment horizontal="center"/>
    </xf>
    <xf numFmtId="167" fontId="42" fillId="58" borderId="1" xfId="3" applyNumberFormat="1" applyFont="1" applyFill="1" applyBorder="1" applyAlignment="1">
      <alignment horizontal="center"/>
    </xf>
    <xf numFmtId="167" fontId="23" fillId="2" borderId="1" xfId="3" applyNumberFormat="1" applyFont="1" applyFill="1" applyBorder="1" applyAlignment="1">
      <alignment horizontal="center"/>
    </xf>
    <xf numFmtId="167" fontId="42" fillId="2" borderId="1" xfId="3" applyNumberFormat="1" applyFont="1" applyFill="1" applyBorder="1" applyAlignment="1">
      <alignment horizontal="center"/>
    </xf>
    <xf numFmtId="0" fontId="43" fillId="51" borderId="1" xfId="0" applyFont="1" applyFill="1" applyBorder="1" applyAlignment="1">
      <alignment horizontal="center" wrapText="1"/>
    </xf>
    <xf numFmtId="0" fontId="13" fillId="68" borderId="1" xfId="0" applyFont="1" applyFill="1" applyBorder="1"/>
    <xf numFmtId="0" fontId="40" fillId="51" borderId="1" xfId="0" applyFont="1" applyFill="1" applyBorder="1" applyAlignment="1">
      <alignment horizontal="right" wrapText="1"/>
    </xf>
    <xf numFmtId="167" fontId="23" fillId="8" borderId="7" xfId="3" applyNumberFormat="1" applyFont="1" applyFill="1" applyBorder="1" applyAlignment="1">
      <alignment horizontal="center"/>
    </xf>
    <xf numFmtId="167" fontId="23" fillId="8" borderId="1" xfId="3" applyNumberFormat="1" applyFont="1" applyFill="1" applyBorder="1" applyAlignment="1">
      <alignment horizontal="center"/>
    </xf>
    <xf numFmtId="174" fontId="23" fillId="2" borderId="1" xfId="6" applyNumberFormat="1" applyFont="1" applyFill="1" applyBorder="1" applyAlignment="1">
      <alignment horizontal="center"/>
    </xf>
    <xf numFmtId="174" fontId="42" fillId="2" borderId="1" xfId="6" applyNumberFormat="1" applyFont="1" applyFill="1" applyBorder="1" applyAlignment="1">
      <alignment horizontal="center"/>
    </xf>
    <xf numFmtId="174" fontId="42" fillId="58" borderId="1" xfId="6" applyNumberFormat="1" applyFont="1" applyFill="1" applyBorder="1" applyAlignment="1">
      <alignment horizontal="center"/>
    </xf>
    <xf numFmtId="174" fontId="42" fillId="0" borderId="1" xfId="6" applyNumberFormat="1" applyFont="1" applyFill="1" applyBorder="1" applyAlignment="1">
      <alignment horizontal="center"/>
    </xf>
    <xf numFmtId="174" fontId="23" fillId="58" borderId="1" xfId="6" applyNumberFormat="1" applyFont="1" applyFill="1" applyBorder="1" applyAlignment="1">
      <alignment horizontal="center"/>
    </xf>
    <xf numFmtId="167" fontId="0" fillId="5" borderId="0" xfId="0" applyNumberFormat="1" applyFill="1"/>
    <xf numFmtId="0" fontId="0" fillId="2" borderId="0" xfId="0" applyFill="1"/>
    <xf numFmtId="0" fontId="0" fillId="2" borderId="0" xfId="0" applyFill="1" applyAlignment="1">
      <alignment wrapText="1"/>
    </xf>
    <xf numFmtId="0" fontId="64"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applyFill="1" applyAlignment="1">
      <alignment horizontal="left" vertical="center" wrapText="1"/>
    </xf>
    <xf numFmtId="0" fontId="65" fillId="2" borderId="0" xfId="0" applyFont="1" applyFill="1" applyAlignment="1">
      <alignment horizontal="left" vertical="center" wrapText="1"/>
    </xf>
    <xf numFmtId="0" fontId="41" fillId="69" borderId="58" xfId="0" applyFont="1" applyFill="1" applyBorder="1" applyAlignment="1">
      <alignment horizontal="center" vertical="center" wrapText="1"/>
    </xf>
    <xf numFmtId="0" fontId="62" fillId="5" borderId="0" xfId="0" applyFont="1" applyFill="1" applyAlignment="1">
      <alignment horizontal="center"/>
    </xf>
    <xf numFmtId="0" fontId="0" fillId="5" borderId="0" xfId="0" applyFill="1" applyAlignment="1">
      <alignment horizontal="center"/>
    </xf>
    <xf numFmtId="0" fontId="78" fillId="59" borderId="33" xfId="0" applyFont="1" applyFill="1" applyBorder="1" applyAlignment="1">
      <alignment vertical="center" wrapText="1"/>
    </xf>
    <xf numFmtId="0" fontId="78" fillId="59" borderId="34" xfId="0" applyFont="1" applyFill="1" applyBorder="1" applyAlignment="1">
      <alignment vertical="center" wrapText="1"/>
    </xf>
    <xf numFmtId="0" fontId="0" fillId="5" borderId="0" xfId="0" applyFill="1" applyProtection="1">
      <protection locked="0"/>
    </xf>
    <xf numFmtId="0" fontId="2" fillId="2" borderId="0" xfId="1" applyFill="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0" fontId="0" fillId="2" borderId="0" xfId="0" applyFill="1" applyAlignment="1" applyProtection="1">
      <alignment horizontal="left" vertical="top" wrapText="1"/>
      <protection locked="0"/>
    </xf>
    <xf numFmtId="0" fontId="0" fillId="2" borderId="0" xfId="0" applyFill="1" applyProtection="1">
      <protection locked="0"/>
    </xf>
    <xf numFmtId="0" fontId="0" fillId="2" borderId="0" xfId="0" applyFill="1" applyAlignment="1" applyProtection="1">
      <alignment horizontal="center"/>
      <protection locked="0"/>
    </xf>
    <xf numFmtId="0" fontId="0" fillId="2" borderId="0" xfId="0" applyFill="1" applyAlignment="1" applyProtection="1">
      <alignment wrapText="1"/>
      <protection locked="0"/>
    </xf>
    <xf numFmtId="0" fontId="2" fillId="2" borderId="0" xfId="1" applyFill="1" applyAlignment="1" applyProtection="1">
      <alignment horizontal="center"/>
      <protection locked="0"/>
    </xf>
    <xf numFmtId="0" fontId="0" fillId="5" borderId="0" xfId="0" applyFill="1" applyAlignment="1">
      <alignment wrapText="1"/>
    </xf>
    <xf numFmtId="0" fontId="8" fillId="16" borderId="23" xfId="0" applyFont="1" applyFill="1" applyBorder="1"/>
    <xf numFmtId="0" fontId="1" fillId="5" borderId="40" xfId="0" applyFont="1" applyFill="1" applyBorder="1"/>
    <xf numFmtId="0" fontId="8" fillId="16" borderId="39" xfId="0" applyFont="1" applyFill="1" applyBorder="1"/>
    <xf numFmtId="0" fontId="1" fillId="5" borderId="41" xfId="0" applyFont="1" applyFill="1" applyBorder="1"/>
    <xf numFmtId="0" fontId="8" fillId="16" borderId="39" xfId="0" applyFont="1" applyFill="1" applyBorder="1" applyAlignment="1">
      <alignment vertical="top"/>
    </xf>
    <xf numFmtId="0" fontId="1" fillId="5" borderId="41" xfId="0" applyFont="1" applyFill="1" applyBorder="1" applyAlignment="1">
      <alignment wrapText="1"/>
    </xf>
    <xf numFmtId="0" fontId="8" fillId="16" borderId="53" xfId="0" applyFont="1" applyFill="1" applyBorder="1" applyAlignment="1">
      <alignment horizontal="left" vertical="center"/>
    </xf>
    <xf numFmtId="0" fontId="1" fillId="5" borderId="44" xfId="0" applyFont="1" applyFill="1" applyBorder="1" applyAlignment="1">
      <alignment vertical="center"/>
    </xf>
    <xf numFmtId="0" fontId="65" fillId="5" borderId="0" xfId="0" applyFont="1" applyFill="1"/>
    <xf numFmtId="0" fontId="76" fillId="5" borderId="0" xfId="0" applyFont="1" applyFill="1"/>
    <xf numFmtId="0" fontId="2" fillId="5" borderId="0" xfId="1" applyFill="1" applyAlignment="1" applyProtection="1">
      <alignment horizontal="left" vertical="top" wrapText="1"/>
    </xf>
    <xf numFmtId="9" fontId="0" fillId="0" borderId="0" xfId="6" applyFont="1" applyFill="1" applyBorder="1"/>
    <xf numFmtId="0" fontId="0" fillId="0" borderId="1" xfId="0" applyBorder="1" applyAlignment="1">
      <alignment horizontal="right" vertical="top" wrapText="1"/>
    </xf>
    <xf numFmtId="0" fontId="62" fillId="0" borderId="0" xfId="0" applyFont="1"/>
    <xf numFmtId="0" fontId="0" fillId="0" borderId="1" xfId="0" applyBorder="1" applyAlignment="1">
      <alignment horizontal="left" vertical="top" wrapText="1"/>
    </xf>
    <xf numFmtId="0" fontId="6" fillId="4" borderId="1" xfId="0" applyFont="1" applyFill="1" applyBorder="1" applyAlignment="1">
      <alignment horizontal="left" vertical="top" wrapText="1"/>
    </xf>
    <xf numFmtId="0" fontId="6" fillId="72" borderId="61" xfId="0" applyFont="1" applyFill="1" applyBorder="1" applyAlignment="1">
      <alignment horizontal="left" vertical="top"/>
    </xf>
    <xf numFmtId="0" fontId="13" fillId="75" borderId="61" xfId="0" applyFont="1" applyFill="1" applyBorder="1" applyAlignment="1">
      <alignment horizontal="left" vertical="top"/>
    </xf>
    <xf numFmtId="0" fontId="13" fillId="72" borderId="61" xfId="0" applyFont="1" applyFill="1" applyBorder="1" applyAlignment="1">
      <alignment horizontal="left" vertical="top"/>
    </xf>
    <xf numFmtId="0" fontId="0" fillId="0" borderId="61" xfId="0" applyBorder="1" applyAlignment="1">
      <alignment horizontal="left" vertical="top"/>
    </xf>
    <xf numFmtId="173" fontId="16" fillId="75" borderId="61" xfId="0" applyNumberFormat="1" applyFont="1" applyFill="1" applyBorder="1" applyAlignment="1">
      <alignment horizontal="right" vertical="top"/>
    </xf>
    <xf numFmtId="173" fontId="16" fillId="0" borderId="61" xfId="0" applyNumberFormat="1" applyFont="1" applyBorder="1" applyAlignment="1">
      <alignment horizontal="right" vertical="top"/>
    </xf>
    <xf numFmtId="181" fontId="16" fillId="0" borderId="61" xfId="0" applyNumberFormat="1" applyFont="1" applyBorder="1" applyAlignment="1">
      <alignment horizontal="right" vertical="top"/>
    </xf>
    <xf numFmtId="0" fontId="16" fillId="0" borderId="61" xfId="0" applyFont="1" applyBorder="1" applyAlignment="1">
      <alignment horizontal="left" vertical="top"/>
    </xf>
    <xf numFmtId="0" fontId="39" fillId="71" borderId="62" xfId="0" applyFont="1" applyFill="1" applyBorder="1" applyAlignment="1">
      <alignment horizontal="left"/>
    </xf>
    <xf numFmtId="0" fontId="6" fillId="0" borderId="0" xfId="0" applyFont="1" applyAlignment="1">
      <alignment horizontal="left" vertical="top"/>
    </xf>
    <xf numFmtId="173" fontId="16" fillId="0" borderId="62" xfId="0" applyNumberFormat="1" applyFont="1" applyBorder="1" applyAlignment="1">
      <alignment horizontal="right" vertical="top"/>
    </xf>
    <xf numFmtId="173" fontId="16" fillId="0" borderId="1" xfId="0" applyNumberFormat="1" applyFont="1" applyBorder="1" applyAlignment="1">
      <alignment horizontal="right" vertical="top"/>
    </xf>
    <xf numFmtId="173" fontId="0" fillId="0" borderId="0" xfId="0" applyNumberFormat="1" applyAlignment="1">
      <alignment horizontal="right" vertical="top"/>
    </xf>
    <xf numFmtId="181" fontId="16" fillId="0" borderId="62" xfId="0" applyNumberFormat="1" applyFont="1" applyBorder="1" applyAlignment="1">
      <alignment horizontal="right" vertical="top"/>
    </xf>
    <xf numFmtId="181" fontId="16" fillId="0" borderId="1" xfId="0" applyNumberFormat="1" applyFont="1" applyBorder="1" applyAlignment="1">
      <alignment horizontal="right" vertical="top"/>
    </xf>
    <xf numFmtId="0" fontId="16" fillId="4" borderId="63" xfId="0" applyFont="1" applyFill="1" applyBorder="1"/>
    <xf numFmtId="0" fontId="16" fillId="4" borderId="64" xfId="0" applyFont="1" applyFill="1" applyBorder="1"/>
    <xf numFmtId="0" fontId="16" fillId="4" borderId="65" xfId="0" applyFont="1" applyFill="1" applyBorder="1"/>
    <xf numFmtId="0" fontId="16" fillId="4" borderId="66" xfId="0" applyFont="1" applyFill="1" applyBorder="1"/>
    <xf numFmtId="0" fontId="16" fillId="4" borderId="0" xfId="0" applyFont="1" applyFill="1"/>
    <xf numFmtId="0" fontId="16" fillId="4" borderId="67" xfId="0" applyFont="1" applyFill="1" applyBorder="1"/>
    <xf numFmtId="169" fontId="16" fillId="0" borderId="61" xfId="0" applyNumberFormat="1" applyFont="1" applyBorder="1" applyAlignment="1">
      <alignment horizontal="right" vertical="top"/>
    </xf>
    <xf numFmtId="169" fontId="16" fillId="0" borderId="1" xfId="0" applyNumberFormat="1" applyFont="1" applyBorder="1" applyAlignment="1">
      <alignment horizontal="right" vertical="top"/>
    </xf>
    <xf numFmtId="0" fontId="16" fillId="4" borderId="68" xfId="0" applyFont="1" applyFill="1" applyBorder="1"/>
    <xf numFmtId="0" fontId="16" fillId="4" borderId="69" xfId="0" applyFont="1" applyFill="1" applyBorder="1"/>
    <xf numFmtId="0" fontId="16" fillId="4" borderId="70" xfId="0" applyFont="1" applyFill="1" applyBorder="1"/>
    <xf numFmtId="169" fontId="0" fillId="0" borderId="0" xfId="0" applyNumberFormat="1" applyAlignment="1">
      <alignment horizontal="right" vertical="top"/>
    </xf>
    <xf numFmtId="0" fontId="39" fillId="71" borderId="60" xfId="0" applyFont="1" applyFill="1" applyBorder="1"/>
    <xf numFmtId="0" fontId="39" fillId="71" borderId="61" xfId="0" applyFont="1" applyFill="1" applyBorder="1"/>
    <xf numFmtId="0" fontId="6" fillId="72" borderId="71" xfId="0" applyFont="1" applyFill="1" applyBorder="1" applyAlignment="1">
      <alignment horizontal="left" vertical="top"/>
    </xf>
    <xf numFmtId="169" fontId="0" fillId="0" borderId="1" xfId="0" applyNumberFormat="1" applyBorder="1" applyAlignment="1">
      <alignment horizontal="right" vertical="top"/>
    </xf>
    <xf numFmtId="173" fontId="16" fillId="75" borderId="1" xfId="0" applyNumberFormat="1" applyFont="1" applyFill="1" applyBorder="1" applyAlignment="1">
      <alignment horizontal="right" vertical="top"/>
    </xf>
    <xf numFmtId="173" fontId="16" fillId="5" borderId="1" xfId="0" applyNumberFormat="1" applyFont="1" applyFill="1" applyBorder="1" applyAlignment="1">
      <alignment horizontal="right" vertical="top"/>
    </xf>
    <xf numFmtId="181" fontId="16" fillId="5" borderId="1" xfId="0" applyNumberFormat="1" applyFont="1" applyFill="1" applyBorder="1" applyAlignment="1">
      <alignment horizontal="right" vertical="top"/>
    </xf>
    <xf numFmtId="173" fontId="16" fillId="5" borderId="61" xfId="0" applyNumberFormat="1" applyFont="1" applyFill="1" applyBorder="1" applyAlignment="1">
      <alignment horizontal="right" vertical="top"/>
    </xf>
    <xf numFmtId="181" fontId="16" fillId="5" borderId="61" xfId="0" applyNumberFormat="1" applyFont="1" applyFill="1" applyBorder="1" applyAlignment="1">
      <alignment horizontal="right" vertical="top"/>
    </xf>
    <xf numFmtId="181" fontId="16" fillId="4" borderId="61" xfId="0" applyNumberFormat="1" applyFont="1" applyFill="1" applyBorder="1" applyAlignment="1">
      <alignment horizontal="right" vertical="top"/>
    </xf>
    <xf numFmtId="179" fontId="16" fillId="4" borderId="61" xfId="0" applyNumberFormat="1" applyFont="1" applyFill="1" applyBorder="1" applyAlignment="1">
      <alignment horizontal="right" vertical="top"/>
    </xf>
    <xf numFmtId="181" fontId="0" fillId="0" borderId="0" xfId="0" applyNumberFormat="1" applyAlignment="1">
      <alignment horizontal="right" vertical="top"/>
    </xf>
    <xf numFmtId="0" fontId="0" fillId="0" borderId="0" xfId="0" applyAlignment="1">
      <alignment horizontal="left" vertical="center"/>
    </xf>
    <xf numFmtId="0" fontId="39" fillId="71" borderId="62" xfId="0" applyFont="1" applyFill="1" applyBorder="1"/>
    <xf numFmtId="180" fontId="16" fillId="0" borderId="61" xfId="0" applyNumberFormat="1" applyFont="1" applyBorder="1" applyAlignment="1">
      <alignment horizontal="right" vertical="top"/>
    </xf>
    <xf numFmtId="0" fontId="6" fillId="4" borderId="60" xfId="0" applyFont="1" applyFill="1" applyBorder="1" applyAlignment="1">
      <alignment vertical="top" wrapText="1"/>
    </xf>
    <xf numFmtId="0" fontId="45" fillId="0" borderId="0" xfId="1" applyFont="1"/>
    <xf numFmtId="3" fontId="0" fillId="0" borderId="1" xfId="0" applyNumberFormat="1" applyBorder="1" applyAlignment="1">
      <alignment horizontal="right" vertical="top" wrapText="1"/>
    </xf>
    <xf numFmtId="0" fontId="0" fillId="0" borderId="0" xfId="0" applyAlignment="1">
      <alignment horizontal="right" vertical="top" wrapText="1"/>
    </xf>
    <xf numFmtId="183" fontId="0" fillId="0" borderId="1" xfId="3" applyNumberFormat="1" applyFont="1" applyBorder="1" applyAlignment="1">
      <alignment horizontal="right" vertical="top" wrapText="1"/>
    </xf>
    <xf numFmtId="183" fontId="0" fillId="0" borderId="0" xfId="3" applyNumberFormat="1" applyFont="1" applyBorder="1" applyAlignment="1">
      <alignment horizontal="right" vertical="top" wrapText="1"/>
    </xf>
    <xf numFmtId="3" fontId="0" fillId="0" borderId="0" xfId="0" applyNumberFormat="1" applyAlignment="1">
      <alignment horizontal="right" vertical="top" wrapText="1"/>
    </xf>
    <xf numFmtId="0" fontId="0" fillId="16" borderId="1" xfId="0" applyFill="1" applyBorder="1" applyAlignment="1">
      <alignment horizontal="left" vertical="top" wrapText="1"/>
    </xf>
    <xf numFmtId="0" fontId="0" fillId="16" borderId="1" xfId="0" applyFill="1" applyBorder="1" applyAlignment="1">
      <alignment horizontal="left" vertical="top"/>
    </xf>
    <xf numFmtId="43" fontId="0" fillId="0" borderId="1" xfId="0" applyNumberFormat="1" applyBorder="1" applyAlignment="1">
      <alignment horizontal="right" vertical="top"/>
    </xf>
    <xf numFmtId="43" fontId="0" fillId="0" borderId="0" xfId="0" applyNumberFormat="1" applyAlignment="1">
      <alignment horizontal="right" vertical="top"/>
    </xf>
    <xf numFmtId="0" fontId="0" fillId="0" borderId="1" xfId="0" applyBorder="1" applyAlignment="1">
      <alignment horizontal="right" vertical="top"/>
    </xf>
    <xf numFmtId="0" fontId="0" fillId="0" borderId="0" xfId="0" applyAlignment="1">
      <alignment horizontal="right" vertical="top"/>
    </xf>
    <xf numFmtId="0" fontId="0" fillId="0" borderId="1" xfId="0" applyBorder="1" applyAlignment="1">
      <alignment horizontal="left" vertical="top"/>
    </xf>
    <xf numFmtId="184" fontId="0" fillId="0" borderId="1" xfId="0" applyNumberFormat="1" applyBorder="1" applyAlignment="1">
      <alignment horizontal="right" vertical="top"/>
    </xf>
    <xf numFmtId="184" fontId="0" fillId="0" borderId="0" xfId="0" applyNumberFormat="1" applyAlignment="1">
      <alignment horizontal="right" vertical="top"/>
    </xf>
    <xf numFmtId="0" fontId="16" fillId="0" borderId="1" xfId="0" applyFont="1" applyBorder="1"/>
    <xf numFmtId="0" fontId="13" fillId="16" borderId="1" xfId="0" applyFont="1" applyFill="1" applyBorder="1"/>
    <xf numFmtId="0" fontId="16" fillId="16" borderId="1" xfId="0" applyFont="1" applyFill="1" applyBorder="1" applyAlignment="1">
      <alignment horizontal="left" vertical="top"/>
    </xf>
    <xf numFmtId="0" fontId="16" fillId="16" borderId="1" xfId="0" applyFont="1" applyFill="1" applyBorder="1" applyAlignment="1">
      <alignment horizontal="left" vertical="top" wrapText="1"/>
    </xf>
    <xf numFmtId="173" fontId="16" fillId="0" borderId="71" xfId="0" applyNumberFormat="1" applyFont="1" applyBorder="1" applyAlignment="1">
      <alignment horizontal="right" vertical="top"/>
    </xf>
    <xf numFmtId="173" fontId="16" fillId="0" borderId="75" xfId="0" applyNumberFormat="1" applyFont="1" applyBorder="1" applyAlignment="1">
      <alignment horizontal="right" vertical="top"/>
    </xf>
    <xf numFmtId="169" fontId="16" fillId="0" borderId="62" xfId="0" applyNumberFormat="1" applyFont="1" applyBorder="1" applyAlignment="1">
      <alignment horizontal="right" vertical="top"/>
    </xf>
    <xf numFmtId="0" fontId="0" fillId="5" borderId="61" xfId="0" applyFill="1" applyBorder="1" applyAlignment="1">
      <alignment horizontal="left" vertical="top"/>
    </xf>
    <xf numFmtId="173" fontId="16" fillId="75" borderId="76" xfId="0" applyNumberFormat="1" applyFont="1" applyFill="1" applyBorder="1" applyAlignment="1">
      <alignment horizontal="right" vertical="top"/>
    </xf>
    <xf numFmtId="173" fontId="16" fillId="0" borderId="76" xfId="0" applyNumberFormat="1" applyFont="1" applyBorder="1" applyAlignment="1">
      <alignment horizontal="right" vertical="top"/>
    </xf>
    <xf numFmtId="181" fontId="16" fillId="0" borderId="76" xfId="0" applyNumberFormat="1" applyFont="1" applyBorder="1" applyAlignment="1">
      <alignment horizontal="right" vertical="top"/>
    </xf>
    <xf numFmtId="0" fontId="0" fillId="0" borderId="0" xfId="0" applyAlignment="1">
      <alignment vertical="top"/>
    </xf>
    <xf numFmtId="173" fontId="0" fillId="0" borderId="0" xfId="0" applyNumberFormat="1"/>
    <xf numFmtId="185" fontId="16" fillId="0" borderId="1" xfId="0" applyNumberFormat="1" applyFont="1" applyBorder="1" applyAlignment="1">
      <alignment vertical="top"/>
    </xf>
    <xf numFmtId="0" fontId="16" fillId="5" borderId="1" xfId="0" applyFont="1" applyFill="1" applyBorder="1"/>
    <xf numFmtId="185" fontId="16" fillId="5" borderId="1" xfId="0" applyNumberFormat="1" applyFont="1" applyFill="1" applyBorder="1" applyAlignment="1">
      <alignment vertical="top"/>
    </xf>
    <xf numFmtId="0" fontId="76" fillId="71" borderId="61" xfId="0" applyFont="1" applyFill="1" applyBorder="1"/>
    <xf numFmtId="0" fontId="62" fillId="71" borderId="0" xfId="0" applyFont="1" applyFill="1" applyAlignment="1">
      <alignment vertical="top"/>
    </xf>
    <xf numFmtId="0" fontId="13" fillId="72" borderId="63" xfId="0" applyFont="1" applyFill="1" applyBorder="1" applyAlignment="1">
      <alignment horizontal="left" vertical="top"/>
    </xf>
    <xf numFmtId="0" fontId="16" fillId="0" borderId="1" xfId="0" applyFont="1" applyBorder="1" applyAlignment="1">
      <alignment vertical="top"/>
    </xf>
    <xf numFmtId="186" fontId="16" fillId="0" borderId="1" xfId="0" applyNumberFormat="1" applyFont="1" applyBorder="1" applyAlignment="1">
      <alignment vertical="top"/>
    </xf>
    <xf numFmtId="187" fontId="16" fillId="0" borderId="1" xfId="0" applyNumberFormat="1" applyFont="1" applyBorder="1" applyAlignment="1">
      <alignment vertical="top"/>
    </xf>
    <xf numFmtId="0" fontId="2" fillId="0" borderId="0" xfId="1" applyBorder="1" applyAlignment="1">
      <alignment vertical="center"/>
    </xf>
    <xf numFmtId="0" fontId="93" fillId="0" borderId="0" xfId="0" applyFont="1"/>
    <xf numFmtId="0" fontId="8" fillId="4" borderId="7" xfId="0" applyFont="1" applyFill="1" applyBorder="1" applyAlignment="1">
      <alignment vertical="center" wrapText="1"/>
    </xf>
    <xf numFmtId="0" fontId="8" fillId="5" borderId="0" xfId="0" applyFont="1" applyFill="1" applyAlignment="1">
      <alignment vertical="center"/>
    </xf>
    <xf numFmtId="166" fontId="23" fillId="70" borderId="1" xfId="0" applyNumberFormat="1" applyFont="1" applyFill="1" applyBorder="1" applyAlignment="1">
      <alignment horizontal="center" vertical="center" wrapText="1"/>
    </xf>
    <xf numFmtId="0" fontId="95" fillId="0" borderId="0" xfId="0" applyFont="1"/>
    <xf numFmtId="0" fontId="1" fillId="0" borderId="0" xfId="0" applyFont="1" applyAlignment="1">
      <alignment wrapText="1"/>
    </xf>
    <xf numFmtId="169" fontId="28" fillId="4" borderId="5" xfId="0" applyNumberFormat="1" applyFont="1" applyFill="1" applyBorder="1" applyAlignment="1">
      <alignment horizontal="center" vertical="center" wrapText="1"/>
    </xf>
    <xf numFmtId="0" fontId="98" fillId="0" borderId="0" xfId="0" applyFont="1" applyAlignment="1">
      <alignment wrapText="1"/>
    </xf>
    <xf numFmtId="0" fontId="96" fillId="0" borderId="0" xfId="0" applyFont="1"/>
    <xf numFmtId="0" fontId="23" fillId="4" borderId="1" xfId="66" applyFont="1" applyFill="1" applyBorder="1" applyAlignment="1">
      <alignment horizontal="center" vertical="center" wrapText="1"/>
    </xf>
    <xf numFmtId="0" fontId="1" fillId="5" borderId="0" xfId="0" applyFont="1" applyFill="1"/>
    <xf numFmtId="0" fontId="1" fillId="5" borderId="0" xfId="0" applyFont="1" applyFill="1" applyAlignment="1">
      <alignment horizontal="left"/>
    </xf>
    <xf numFmtId="0" fontId="25" fillId="4" borderId="1" xfId="66" applyFont="1" applyFill="1" applyBorder="1" applyAlignment="1">
      <alignment horizontal="center" vertical="center" wrapText="1"/>
    </xf>
    <xf numFmtId="0" fontId="1" fillId="0" borderId="0" xfId="0" applyFont="1" applyAlignment="1">
      <alignment horizontal="left"/>
    </xf>
    <xf numFmtId="165" fontId="25" fillId="4" borderId="1" xfId="11" applyFont="1" applyFill="1" applyBorder="1" applyAlignment="1" applyProtection="1">
      <alignment horizontal="center" vertical="center" wrapText="1"/>
    </xf>
    <xf numFmtId="0" fontId="1" fillId="0" borderId="1" xfId="0" applyFont="1" applyBorder="1"/>
    <xf numFmtId="0" fontId="95" fillId="0" borderId="0" xfId="1" applyFont="1" applyAlignment="1" applyProtection="1">
      <alignment wrapText="1"/>
    </xf>
    <xf numFmtId="0" fontId="8" fillId="4" borderId="1" xfId="0" applyFont="1" applyFill="1" applyBorder="1" applyAlignment="1">
      <alignment wrapText="1"/>
    </xf>
    <xf numFmtId="0" fontId="8" fillId="4" borderId="11" xfId="0" applyFont="1" applyFill="1" applyBorder="1" applyAlignment="1">
      <alignment wrapText="1"/>
    </xf>
    <xf numFmtId="0" fontId="8" fillId="4" borderId="5" xfId="0" applyFont="1" applyFill="1" applyBorder="1" applyAlignment="1">
      <alignment wrapText="1"/>
    </xf>
    <xf numFmtId="172" fontId="13" fillId="7" borderId="1" xfId="0" applyNumberFormat="1" applyFont="1" applyFill="1" applyBorder="1" applyAlignment="1">
      <alignment horizontal="center" vertical="center" wrapText="1"/>
    </xf>
    <xf numFmtId="172" fontId="6" fillId="7" borderId="1" xfId="0" applyNumberFormat="1" applyFont="1" applyFill="1" applyBorder="1" applyAlignment="1">
      <alignment horizontal="center" vertical="center" wrapText="1"/>
    </xf>
    <xf numFmtId="0" fontId="124" fillId="79" borderId="45" xfId="0" applyFont="1" applyFill="1" applyBorder="1" applyAlignment="1">
      <alignment horizontal="center" vertical="center" wrapText="1"/>
    </xf>
    <xf numFmtId="0" fontId="125" fillId="0" borderId="37" xfId="0" applyFont="1" applyBorder="1" applyAlignment="1">
      <alignment vertical="center" wrapText="1"/>
    </xf>
    <xf numFmtId="0" fontId="125" fillId="0" borderId="34" xfId="0" applyFont="1" applyBorder="1" applyAlignment="1">
      <alignment horizontal="center" vertical="center" wrapText="1"/>
    </xf>
    <xf numFmtId="0" fontId="21" fillId="0" borderId="0" xfId="0" applyFont="1" applyAlignment="1">
      <alignment vertical="center"/>
    </xf>
    <xf numFmtId="0" fontId="126" fillId="80" borderId="49" xfId="0" applyFont="1" applyFill="1" applyBorder="1" applyAlignment="1">
      <alignment horizontal="center" vertical="center" wrapText="1"/>
    </xf>
    <xf numFmtId="0" fontId="126" fillId="80" borderId="34" xfId="0" applyFont="1" applyFill="1" applyBorder="1" applyAlignment="1">
      <alignment horizontal="center" vertical="center" wrapText="1"/>
    </xf>
    <xf numFmtId="0" fontId="125" fillId="0" borderId="0" xfId="0" applyFont="1" applyAlignment="1">
      <alignment horizontal="center" vertical="center" wrapText="1"/>
    </xf>
    <xf numFmtId="0" fontId="123" fillId="0" borderId="94" xfId="0" applyFont="1" applyBorder="1" applyAlignment="1">
      <alignment vertical="center" wrapText="1"/>
    </xf>
    <xf numFmtId="0" fontId="123" fillId="0" borderId="93" xfId="0" applyFont="1" applyBorder="1" applyAlignment="1">
      <alignment horizontal="center" vertical="center" wrapText="1"/>
    </xf>
    <xf numFmtId="0" fontId="124" fillId="79" borderId="14" xfId="0" applyFont="1" applyFill="1" applyBorder="1" applyAlignment="1">
      <alignment vertical="center" wrapText="1"/>
    </xf>
    <xf numFmtId="3" fontId="129" fillId="0" borderId="34" xfId="0" applyNumberFormat="1" applyFont="1" applyBorder="1" applyAlignment="1">
      <alignment horizontal="center" vertical="center" wrapText="1"/>
    </xf>
    <xf numFmtId="0" fontId="130" fillId="0" borderId="37" xfId="0" applyFont="1" applyBorder="1" applyAlignment="1">
      <alignment vertical="center" wrapText="1"/>
    </xf>
    <xf numFmtId="3" fontId="125" fillId="0" borderId="34" xfId="0" applyNumberFormat="1" applyFont="1" applyBorder="1" applyAlignment="1">
      <alignment horizontal="center" vertical="center" wrapText="1"/>
    </xf>
    <xf numFmtId="0" fontId="123" fillId="0" borderId="37" xfId="0" applyFont="1" applyBorder="1" applyAlignment="1">
      <alignment horizontal="left" vertical="center" wrapText="1"/>
    </xf>
    <xf numFmtId="0" fontId="0" fillId="0" borderId="0" xfId="0" applyAlignment="1">
      <alignment wrapText="1"/>
    </xf>
    <xf numFmtId="0" fontId="123" fillId="0" borderId="0" xfId="0" applyFont="1" applyAlignment="1">
      <alignment horizontal="left" vertical="center" wrapText="1"/>
    </xf>
    <xf numFmtId="0" fontId="23" fillId="4" borderId="2" xfId="66" applyFont="1" applyFill="1" applyBorder="1" applyAlignment="1">
      <alignment horizontal="center" vertical="center" wrapText="1"/>
    </xf>
    <xf numFmtId="0" fontId="23" fillId="8" borderId="2" xfId="66" applyFont="1" applyFill="1" applyBorder="1" applyAlignment="1">
      <alignment horizontal="center" vertical="center"/>
    </xf>
    <xf numFmtId="0" fontId="23" fillId="73" borderId="2" xfId="10" applyFont="1" applyFill="1" applyBorder="1" applyAlignment="1">
      <alignment horizontal="center" vertical="center" wrapText="1"/>
    </xf>
    <xf numFmtId="9" fontId="132" fillId="5" borderId="0" xfId="6" applyFont="1" applyFill="1" applyAlignment="1" applyProtection="1">
      <alignment wrapText="1"/>
    </xf>
    <xf numFmtId="167" fontId="132" fillId="5" borderId="0" xfId="77" applyNumberFormat="1" applyFont="1" applyFill="1" applyAlignment="1" applyProtection="1">
      <alignment wrapText="1"/>
    </xf>
    <xf numFmtId="0" fontId="132" fillId="5" borderId="0" xfId="0" applyFont="1" applyFill="1" applyAlignment="1">
      <alignment wrapText="1"/>
    </xf>
    <xf numFmtId="0" fontId="132" fillId="5" borderId="0" xfId="0" applyFont="1" applyFill="1" applyAlignment="1">
      <alignment horizontal="center" vertical="center" wrapText="1"/>
    </xf>
    <xf numFmtId="0" fontId="132" fillId="5" borderId="0" xfId="0" applyFont="1" applyFill="1" applyAlignment="1">
      <alignment horizontal="left" wrapText="1" indent="1"/>
    </xf>
    <xf numFmtId="167" fontId="132" fillId="5" borderId="0" xfId="77" applyNumberFormat="1" applyFont="1" applyFill="1" applyBorder="1" applyAlignment="1" applyProtection="1">
      <alignment wrapText="1"/>
    </xf>
    <xf numFmtId="9" fontId="132" fillId="5" borderId="0" xfId="6" applyFont="1" applyFill="1" applyBorder="1" applyAlignment="1" applyProtection="1">
      <alignment wrapText="1"/>
    </xf>
    <xf numFmtId="167" fontId="132" fillId="5" borderId="48" xfId="77" applyNumberFormat="1" applyFont="1" applyFill="1" applyBorder="1" applyAlignment="1" applyProtection="1">
      <alignment wrapText="1"/>
    </xf>
    <xf numFmtId="9" fontId="132" fillId="5" borderId="48" xfId="6" applyFont="1" applyFill="1" applyBorder="1" applyAlignment="1" applyProtection="1">
      <alignment wrapText="1"/>
    </xf>
    <xf numFmtId="9" fontId="132" fillId="5" borderId="49" xfId="6" applyFont="1" applyFill="1" applyBorder="1" applyAlignment="1" applyProtection="1">
      <alignment wrapText="1"/>
    </xf>
    <xf numFmtId="0" fontId="135" fillId="71" borderId="62" xfId="0" applyFont="1" applyFill="1" applyBorder="1" applyAlignment="1">
      <alignment horizontal="left" wrapText="1" indent="1"/>
    </xf>
    <xf numFmtId="0" fontId="136" fillId="0" borderId="0" xfId="0" applyFont="1" applyAlignment="1">
      <alignment horizontal="center" vertical="center" wrapText="1"/>
    </xf>
    <xf numFmtId="0" fontId="132" fillId="2" borderId="62" xfId="0" applyFont="1" applyFill="1" applyBorder="1" applyAlignment="1">
      <alignment horizontal="left" wrapText="1" indent="1"/>
    </xf>
    <xf numFmtId="167" fontId="132" fillId="83" borderId="110" xfId="77" applyNumberFormat="1" applyFont="1" applyFill="1" applyBorder="1" applyAlignment="1" applyProtection="1">
      <alignment vertical="center" wrapText="1"/>
      <protection locked="0"/>
    </xf>
    <xf numFmtId="0" fontId="132" fillId="2" borderId="62" xfId="0" applyFont="1" applyFill="1" applyBorder="1" applyAlignment="1">
      <alignment horizontal="left" vertical="center" wrapText="1" indent="1"/>
    </xf>
    <xf numFmtId="0" fontId="138" fillId="5" borderId="16" xfId="0" applyFont="1" applyFill="1" applyBorder="1" applyAlignment="1">
      <alignment horizontal="center" vertical="center" wrapText="1"/>
    </xf>
    <xf numFmtId="9" fontId="132" fillId="5" borderId="0" xfId="6" applyFont="1" applyFill="1" applyBorder="1" applyAlignment="1" applyProtection="1">
      <alignment horizontal="center" wrapText="1"/>
    </xf>
    <xf numFmtId="9" fontId="132" fillId="5" borderId="33" xfId="6" applyFont="1" applyFill="1" applyBorder="1" applyAlignment="1" applyProtection="1">
      <alignment horizontal="center" wrapText="1"/>
    </xf>
    <xf numFmtId="0" fontId="135" fillId="84" borderId="62" xfId="0" applyFont="1" applyFill="1" applyBorder="1" applyAlignment="1">
      <alignment horizontal="left" wrapText="1" indent="1"/>
    </xf>
    <xf numFmtId="0" fontId="136" fillId="0" borderId="57" xfId="0" applyFont="1" applyBorder="1" applyAlignment="1">
      <alignment horizontal="center" vertical="center" wrapText="1"/>
    </xf>
    <xf numFmtId="0" fontId="138" fillId="85" borderId="111" xfId="0" applyFont="1" applyFill="1" applyBorder="1" applyAlignment="1">
      <alignment horizontal="center" vertical="center" wrapText="1"/>
    </xf>
    <xf numFmtId="0" fontId="132" fillId="85" borderId="112" xfId="0" applyFont="1" applyFill="1" applyBorder="1" applyAlignment="1">
      <alignment horizontal="left" vertical="center" wrapText="1" indent="1"/>
    </xf>
    <xf numFmtId="167" fontId="132" fillId="83" borderId="113" xfId="77" applyNumberFormat="1" applyFont="1" applyFill="1" applyBorder="1" applyAlignment="1" applyProtection="1">
      <alignment vertical="center" wrapText="1"/>
      <protection locked="0"/>
    </xf>
    <xf numFmtId="0" fontId="135" fillId="86" borderId="62" xfId="0" applyFont="1" applyFill="1" applyBorder="1" applyAlignment="1">
      <alignment horizontal="left" wrapText="1" indent="1"/>
    </xf>
    <xf numFmtId="0" fontId="132" fillId="87" borderId="114" xfId="0" applyFont="1" applyFill="1" applyBorder="1" applyAlignment="1">
      <alignment horizontal="left" wrapText="1" indent="1"/>
    </xf>
    <xf numFmtId="9" fontId="132" fillId="5" borderId="107" xfId="6" applyFont="1" applyFill="1" applyBorder="1" applyAlignment="1" applyProtection="1">
      <alignment horizontal="center" vertical="center" wrapText="1"/>
      <protection locked="0"/>
    </xf>
    <xf numFmtId="9" fontId="132" fillId="5" borderId="108" xfId="6" applyFont="1" applyFill="1" applyBorder="1" applyAlignment="1" applyProtection="1">
      <alignment horizontal="center" vertical="center" wrapText="1"/>
      <protection locked="0"/>
    </xf>
    <xf numFmtId="9" fontId="132" fillId="5" borderId="109" xfId="6" applyFont="1" applyFill="1" applyBorder="1" applyAlignment="1" applyProtection="1">
      <alignment horizontal="center" vertical="center" wrapText="1"/>
      <protection locked="0"/>
    </xf>
    <xf numFmtId="0" fontId="138" fillId="87" borderId="115" xfId="0" applyFont="1" applyFill="1" applyBorder="1" applyAlignment="1">
      <alignment horizontal="center" vertical="center" wrapText="1"/>
    </xf>
    <xf numFmtId="0" fontId="146" fillId="5" borderId="0" xfId="0" applyFont="1" applyFill="1"/>
    <xf numFmtId="0" fontId="138" fillId="87" borderId="116" xfId="0" applyFont="1" applyFill="1" applyBorder="1" applyAlignment="1">
      <alignment horizontal="center" vertical="center" wrapText="1"/>
    </xf>
    <xf numFmtId="0" fontId="132" fillId="87" borderId="117" xfId="0" applyFont="1" applyFill="1" applyBorder="1" applyAlignment="1">
      <alignment horizontal="left" wrapText="1" indent="1"/>
    </xf>
    <xf numFmtId="167" fontId="132" fillId="83" borderId="118" xfId="77" applyNumberFormat="1" applyFont="1" applyFill="1" applyBorder="1" applyAlignment="1" applyProtection="1">
      <alignment vertical="center" wrapText="1"/>
      <protection locked="0"/>
    </xf>
    <xf numFmtId="0" fontId="138" fillId="5" borderId="0" xfId="0" applyFont="1" applyFill="1"/>
    <xf numFmtId="0" fontId="148" fillId="0" borderId="122" xfId="0" applyFont="1" applyBorder="1" applyAlignment="1">
      <alignment horizontal="center" vertical="center" wrapText="1"/>
    </xf>
    <xf numFmtId="1" fontId="132" fillId="59" borderId="123" xfId="77" applyNumberFormat="1" applyFont="1" applyFill="1" applyBorder="1" applyAlignment="1" applyProtection="1">
      <alignment vertical="center" wrapText="1"/>
    </xf>
    <xf numFmtId="1" fontId="132" fillId="59" borderId="124" xfId="77" applyNumberFormat="1" applyFont="1" applyFill="1" applyBorder="1" applyAlignment="1" applyProtection="1">
      <alignment vertical="center" wrapText="1"/>
    </xf>
    <xf numFmtId="1" fontId="132" fillId="59" borderId="101" xfId="77" applyNumberFormat="1" applyFont="1" applyFill="1" applyBorder="1" applyAlignment="1" applyProtection="1">
      <alignment vertical="center" wrapText="1"/>
    </xf>
    <xf numFmtId="1" fontId="138" fillId="5" borderId="127" xfId="6" applyNumberFormat="1" applyFont="1" applyFill="1" applyBorder="1" applyAlignment="1" applyProtection="1">
      <alignment vertical="center" wrapText="1"/>
    </xf>
    <xf numFmtId="0" fontId="150" fillId="5" borderId="90" xfId="0" applyFont="1" applyFill="1" applyBorder="1" applyAlignment="1">
      <alignment horizontal="center" vertical="center" wrapText="1"/>
    </xf>
    <xf numFmtId="0" fontId="150" fillId="5" borderId="0" xfId="0" applyFont="1" applyFill="1" applyAlignment="1">
      <alignment horizontal="center" vertical="center" wrapText="1"/>
    </xf>
    <xf numFmtId="2" fontId="138" fillId="5" borderId="0" xfId="6" applyNumberFormat="1" applyFont="1" applyFill="1" applyBorder="1" applyAlignment="1" applyProtection="1">
      <alignment vertical="center" wrapText="1"/>
    </xf>
    <xf numFmtId="9" fontId="138" fillId="5" borderId="0" xfId="6" applyFont="1" applyFill="1" applyBorder="1" applyAlignment="1" applyProtection="1">
      <alignment vertical="center" wrapText="1"/>
    </xf>
    <xf numFmtId="0" fontId="64" fillId="5" borderId="0" xfId="0" applyFont="1" applyFill="1" applyAlignment="1">
      <alignment wrapText="1"/>
    </xf>
    <xf numFmtId="0" fontId="64" fillId="0" borderId="0" xfId="0" applyFont="1" applyAlignment="1">
      <alignment wrapText="1"/>
    </xf>
    <xf numFmtId="2" fontId="132" fillId="0" borderId="128" xfId="77" applyNumberFormat="1" applyFont="1" applyFill="1" applyBorder="1" applyAlignment="1" applyProtection="1">
      <alignment vertical="center" wrapText="1"/>
    </xf>
    <xf numFmtId="0" fontId="138" fillId="5" borderId="0" xfId="6" applyNumberFormat="1" applyFont="1" applyFill="1" applyBorder="1" applyAlignment="1" applyProtection="1">
      <alignment vertical="center" wrapText="1"/>
    </xf>
    <xf numFmtId="2" fontId="132" fillId="5" borderId="129" xfId="77" applyNumberFormat="1" applyFont="1" applyFill="1" applyBorder="1" applyAlignment="1" applyProtection="1">
      <alignment vertical="center" wrapText="1"/>
    </xf>
    <xf numFmtId="0" fontId="150" fillId="5" borderId="90" xfId="0" applyFont="1" applyFill="1" applyBorder="1" applyAlignment="1">
      <alignment horizontal="left" vertical="center" wrapText="1"/>
    </xf>
    <xf numFmtId="0" fontId="150" fillId="5" borderId="0" xfId="0" applyFont="1" applyFill="1" applyAlignment="1">
      <alignment horizontal="left" vertical="center" wrapText="1"/>
    </xf>
    <xf numFmtId="167" fontId="138" fillId="5" borderId="0" xfId="77" applyNumberFormat="1" applyFont="1" applyFill="1" applyBorder="1" applyAlignment="1" applyProtection="1">
      <alignment vertical="center" wrapText="1"/>
    </xf>
    <xf numFmtId="167" fontId="132" fillId="0" borderId="0" xfId="77" applyNumberFormat="1" applyFont="1" applyBorder="1" applyAlignment="1" applyProtection="1">
      <alignment horizontal="center" vertical="center" wrapText="1"/>
    </xf>
    <xf numFmtId="9" fontId="132" fillId="5" borderId="0" xfId="6" applyFont="1" applyFill="1" applyBorder="1" applyAlignment="1" applyProtection="1">
      <alignment horizontal="center" vertical="center" wrapText="1"/>
    </xf>
    <xf numFmtId="167" fontId="132" fillId="59" borderId="130" xfId="77" applyNumberFormat="1" applyFont="1" applyFill="1" applyBorder="1" applyAlignment="1" applyProtection="1">
      <alignment vertical="center" wrapText="1"/>
    </xf>
    <xf numFmtId="0" fontId="138" fillId="5" borderId="46" xfId="6" applyNumberFormat="1" applyFont="1" applyFill="1" applyBorder="1" applyAlignment="1" applyProtection="1">
      <alignment vertical="center" wrapText="1"/>
    </xf>
    <xf numFmtId="0" fontId="138" fillId="5" borderId="34" xfId="6" applyNumberFormat="1" applyFont="1" applyFill="1" applyBorder="1" applyAlignment="1" applyProtection="1">
      <alignment vertical="center" wrapText="1"/>
    </xf>
    <xf numFmtId="0" fontId="132" fillId="5" borderId="0" xfId="0" applyFont="1" applyFill="1" applyAlignment="1">
      <alignment horizontal="left" wrapText="1"/>
    </xf>
    <xf numFmtId="0" fontId="64" fillId="5" borderId="0" xfId="0" applyFont="1" applyFill="1" applyAlignment="1">
      <alignment horizontal="left" wrapText="1"/>
    </xf>
    <xf numFmtId="0" fontId="64" fillId="0" borderId="0" xfId="0" applyFont="1" applyAlignment="1">
      <alignment horizontal="left" wrapText="1"/>
    </xf>
    <xf numFmtId="167" fontId="132" fillId="5" borderId="0" xfId="77" applyNumberFormat="1" applyFont="1" applyFill="1" applyAlignment="1">
      <alignment wrapText="1"/>
    </xf>
    <xf numFmtId="9" fontId="132" fillId="5" borderId="0" xfId="6" applyFont="1" applyFill="1" applyAlignment="1">
      <alignment wrapText="1"/>
    </xf>
    <xf numFmtId="0" fontId="132" fillId="0" borderId="0" xfId="0" applyFont="1" applyAlignment="1">
      <alignment wrapText="1"/>
    </xf>
    <xf numFmtId="167" fontId="132" fillId="0" borderId="0" xfId="77" applyNumberFormat="1" applyFont="1" applyAlignment="1">
      <alignment wrapText="1"/>
    </xf>
    <xf numFmtId="0" fontId="138" fillId="16" borderId="131" xfId="0" applyFont="1" applyFill="1" applyBorder="1" applyAlignment="1">
      <alignment horizontal="center" vertical="center"/>
    </xf>
    <xf numFmtId="0" fontId="138" fillId="16" borderId="132" xfId="0" applyFont="1" applyFill="1" applyBorder="1" applyAlignment="1">
      <alignment horizontal="center" vertical="center"/>
    </xf>
    <xf numFmtId="0" fontId="138" fillId="16" borderId="133" xfId="0" applyFont="1" applyFill="1" applyBorder="1" applyAlignment="1">
      <alignment horizontal="center" vertical="center"/>
    </xf>
    <xf numFmtId="0" fontId="132" fillId="5" borderId="0" xfId="0" applyFont="1" applyFill="1"/>
    <xf numFmtId="0" fontId="132" fillId="5" borderId="0" xfId="0" applyFont="1" applyFill="1" applyAlignment="1">
      <alignment vertical="center"/>
    </xf>
    <xf numFmtId="0" fontId="138" fillId="16" borderId="131" xfId="0" applyFont="1" applyFill="1" applyBorder="1" applyAlignment="1">
      <alignment horizontal="center" vertical="top"/>
    </xf>
    <xf numFmtId="0" fontId="138" fillId="16" borderId="132" xfId="0" applyFont="1" applyFill="1" applyBorder="1" applyAlignment="1">
      <alignment horizontal="center" vertical="top"/>
    </xf>
    <xf numFmtId="9" fontId="138" fillId="5" borderId="0" xfId="6" applyFont="1" applyFill="1" applyAlignment="1" applyProtection="1"/>
    <xf numFmtId="167" fontId="132" fillId="0" borderId="134" xfId="77" applyNumberFormat="1" applyFont="1" applyBorder="1" applyAlignment="1" applyProtection="1">
      <alignment wrapText="1"/>
    </xf>
    <xf numFmtId="188" fontId="132" fillId="83" borderId="110" xfId="77" applyNumberFormat="1" applyFont="1" applyFill="1" applyBorder="1" applyAlignment="1" applyProtection="1">
      <alignment wrapText="1"/>
      <protection locked="0"/>
    </xf>
    <xf numFmtId="167" fontId="132" fillId="0" borderId="135" xfId="77" applyNumberFormat="1" applyFont="1" applyBorder="1" applyAlignment="1" applyProtection="1">
      <alignment wrapText="1"/>
    </xf>
    <xf numFmtId="1" fontId="132" fillId="83" borderId="110" xfId="77" applyNumberFormat="1" applyFont="1" applyFill="1" applyBorder="1" applyAlignment="1" applyProtection="1">
      <alignment wrapText="1"/>
      <protection locked="0"/>
    </xf>
    <xf numFmtId="167" fontId="132" fillId="0" borderId="0" xfId="77" applyNumberFormat="1" applyFont="1" applyBorder="1" applyAlignment="1" applyProtection="1">
      <alignment wrapText="1"/>
    </xf>
    <xf numFmtId="0" fontId="138" fillId="16" borderId="136" xfId="0" applyFont="1" applyFill="1" applyBorder="1" applyAlignment="1">
      <alignment horizontal="center" vertical="top"/>
    </xf>
    <xf numFmtId="0" fontId="138" fillId="16" borderId="133" xfId="0" applyFont="1" applyFill="1" applyBorder="1" applyAlignment="1">
      <alignment horizontal="center" vertical="top"/>
    </xf>
    <xf numFmtId="167" fontId="138" fillId="5" borderId="110" xfId="77" applyNumberFormat="1" applyFont="1" applyFill="1" applyBorder="1" applyAlignment="1" applyProtection="1">
      <alignment horizontal="center" vertical="center" wrapText="1"/>
    </xf>
    <xf numFmtId="167" fontId="132" fillId="83" borderId="110" xfId="77" applyNumberFormat="1" applyFont="1" applyFill="1" applyBorder="1" applyAlignment="1" applyProtection="1">
      <alignment horizontal="center" vertical="center" wrapText="1"/>
      <protection locked="0"/>
    </xf>
    <xf numFmtId="0" fontId="132" fillId="5" borderId="16" xfId="0" applyFont="1" applyFill="1" applyBorder="1" applyAlignment="1">
      <alignment horizontal="center" vertical="center" wrapText="1"/>
    </xf>
    <xf numFmtId="167" fontId="132" fillId="5" borderId="0" xfId="77" applyNumberFormat="1" applyFont="1" applyFill="1" applyBorder="1" applyAlignment="1" applyProtection="1">
      <alignment horizontal="center" vertical="center" wrapText="1"/>
    </xf>
    <xf numFmtId="0" fontId="132" fillId="85" borderId="112" xfId="0" applyFont="1" applyFill="1" applyBorder="1" applyAlignment="1">
      <alignment horizontal="left" wrapText="1" indent="1"/>
    </xf>
    <xf numFmtId="167" fontId="132" fillId="83" borderId="137" xfId="77" applyNumberFormat="1" applyFont="1" applyFill="1" applyBorder="1" applyAlignment="1" applyProtection="1">
      <alignment horizontal="center" vertical="center" wrapText="1"/>
      <protection locked="0"/>
    </xf>
    <xf numFmtId="9" fontId="132" fillId="5" borderId="107" xfId="6" applyFont="1" applyFill="1" applyBorder="1" applyAlignment="1" applyProtection="1">
      <alignment horizontal="center" wrapText="1"/>
      <protection locked="0"/>
    </xf>
    <xf numFmtId="9" fontId="132" fillId="5" borderId="108" xfId="6" applyFont="1" applyFill="1" applyBorder="1" applyAlignment="1" applyProtection="1">
      <alignment horizontal="center" wrapText="1"/>
      <protection locked="0"/>
    </xf>
    <xf numFmtId="9" fontId="132" fillId="5" borderId="109" xfId="6" applyFont="1" applyFill="1" applyBorder="1" applyAlignment="1" applyProtection="1">
      <alignment horizontal="center" wrapText="1"/>
      <protection locked="0"/>
    </xf>
    <xf numFmtId="167" fontId="132" fillId="83" borderId="118" xfId="77" applyNumberFormat="1" applyFont="1" applyFill="1" applyBorder="1" applyAlignment="1" applyProtection="1">
      <alignment horizontal="center" vertical="center" wrapText="1"/>
      <protection locked="0"/>
    </xf>
    <xf numFmtId="9" fontId="138" fillId="5" borderId="138" xfId="6" applyFont="1" applyFill="1" applyBorder="1" applyAlignment="1" applyProtection="1">
      <alignment horizontal="center" vertical="center" wrapText="1"/>
    </xf>
    <xf numFmtId="0" fontId="138" fillId="0" borderId="139" xfId="0" applyFont="1" applyBorder="1" applyAlignment="1">
      <alignment horizontal="center" vertical="center" wrapText="1"/>
    </xf>
    <xf numFmtId="1" fontId="138" fillId="5" borderId="110" xfId="6" applyNumberFormat="1" applyFont="1" applyFill="1" applyBorder="1" applyAlignment="1" applyProtection="1">
      <alignment vertical="center" wrapText="1"/>
      <protection locked="0"/>
    </xf>
    <xf numFmtId="10" fontId="138" fillId="5" borderId="110" xfId="6" applyNumberFormat="1" applyFont="1" applyFill="1" applyBorder="1" applyAlignment="1" applyProtection="1">
      <alignment vertical="center" wrapText="1"/>
    </xf>
    <xf numFmtId="10" fontId="138" fillId="5" borderId="140" xfId="6" applyNumberFormat="1" applyFont="1" applyFill="1" applyBorder="1" applyAlignment="1" applyProtection="1">
      <alignment vertical="center" wrapText="1"/>
    </xf>
    <xf numFmtId="9" fontId="138" fillId="5" borderId="137" xfId="6" applyFont="1" applyFill="1" applyBorder="1" applyAlignment="1" applyProtection="1">
      <alignment vertical="center" wrapText="1"/>
    </xf>
    <xf numFmtId="1" fontId="138" fillId="5" borderId="108" xfId="6" applyNumberFormat="1" applyFont="1" applyFill="1" applyBorder="1" applyAlignment="1" applyProtection="1">
      <alignment vertical="center" wrapText="1"/>
    </xf>
    <xf numFmtId="9" fontId="138" fillId="5" borderId="141" xfId="6" applyFont="1" applyFill="1" applyBorder="1" applyAlignment="1" applyProtection="1">
      <alignment vertical="center" wrapText="1"/>
    </xf>
    <xf numFmtId="0" fontId="138" fillId="5" borderId="143" xfId="6" applyNumberFormat="1" applyFont="1" applyFill="1" applyBorder="1" applyAlignment="1" applyProtection="1">
      <alignment vertical="center" wrapText="1"/>
    </xf>
    <xf numFmtId="0" fontId="138" fillId="5" borderId="144" xfId="6" applyNumberFormat="1" applyFont="1" applyFill="1" applyBorder="1" applyAlignment="1" applyProtection="1">
      <alignment vertical="center" wrapText="1"/>
    </xf>
    <xf numFmtId="2" fontId="132" fillId="5" borderId="110" xfId="77" applyNumberFormat="1" applyFont="1" applyFill="1" applyBorder="1" applyAlignment="1" applyProtection="1">
      <alignment vertical="center" wrapText="1"/>
    </xf>
    <xf numFmtId="0" fontId="160" fillId="5" borderId="142" xfId="0" applyFont="1" applyFill="1" applyBorder="1" applyAlignment="1">
      <alignment horizontal="left" vertical="center" wrapText="1"/>
    </xf>
    <xf numFmtId="0" fontId="160" fillId="5" borderId="74" xfId="0" applyFont="1" applyFill="1" applyBorder="1" applyAlignment="1">
      <alignment horizontal="left" vertical="center" wrapText="1"/>
    </xf>
    <xf numFmtId="167" fontId="138" fillId="5" borderId="145" xfId="77" applyNumberFormat="1" applyFont="1" applyFill="1" applyBorder="1" applyAlignment="1" applyProtection="1">
      <alignment vertical="center" wrapText="1"/>
    </xf>
    <xf numFmtId="9" fontId="138" fillId="5" borderId="33" xfId="6" applyFont="1" applyFill="1" applyBorder="1" applyAlignment="1" applyProtection="1">
      <alignment vertical="center" wrapText="1"/>
    </xf>
    <xf numFmtId="167" fontId="132" fillId="0" borderId="146" xfId="77" applyNumberFormat="1" applyFont="1" applyBorder="1" applyAlignment="1" applyProtection="1">
      <alignment horizontal="center" vertical="center" wrapText="1"/>
    </xf>
    <xf numFmtId="9" fontId="132" fillId="5" borderId="104" xfId="6" applyFont="1" applyFill="1" applyBorder="1" applyAlignment="1" applyProtection="1">
      <alignment horizontal="center" vertical="center" wrapText="1"/>
    </xf>
    <xf numFmtId="167" fontId="132" fillId="5" borderId="104" xfId="77" applyNumberFormat="1" applyFont="1" applyFill="1" applyBorder="1" applyAlignment="1" applyProtection="1">
      <alignment horizontal="center" vertical="center" wrapText="1"/>
    </xf>
    <xf numFmtId="0" fontId="132" fillId="5" borderId="105" xfId="0" applyFont="1" applyFill="1" applyBorder="1" applyAlignment="1">
      <alignment horizontal="center" vertical="center" wrapText="1"/>
    </xf>
    <xf numFmtId="9" fontId="132" fillId="5" borderId="110" xfId="6" applyFont="1" applyFill="1" applyBorder="1" applyAlignment="1" applyProtection="1">
      <alignment vertical="center" wrapText="1"/>
    </xf>
    <xf numFmtId="9" fontId="132" fillId="5" borderId="140" xfId="6" applyFont="1" applyFill="1" applyBorder="1" applyAlignment="1" applyProtection="1">
      <alignment vertical="center" wrapText="1"/>
    </xf>
    <xf numFmtId="0" fontId="132" fillId="5" borderId="0" xfId="0" applyFont="1" applyFill="1" applyAlignment="1">
      <alignment horizontal="left" vertical="center" wrapText="1"/>
    </xf>
    <xf numFmtId="167" fontId="132" fillId="5" borderId="0" xfId="77" applyNumberFormat="1" applyFont="1" applyFill="1" applyBorder="1" applyAlignment="1" applyProtection="1">
      <alignment vertical="center" wrapText="1"/>
    </xf>
    <xf numFmtId="9" fontId="132" fillId="5" borderId="0" xfId="6" applyFont="1" applyFill="1" applyBorder="1" applyAlignment="1" applyProtection="1">
      <alignment vertical="center" wrapText="1"/>
    </xf>
    <xf numFmtId="9" fontId="132" fillId="5" borderId="33" xfId="6" applyFont="1" applyFill="1" applyBorder="1" applyAlignment="1" applyProtection="1">
      <alignment vertical="center" wrapText="1"/>
    </xf>
    <xf numFmtId="1" fontId="132" fillId="5" borderId="110" xfId="6" applyNumberFormat="1" applyFont="1" applyFill="1" applyBorder="1" applyAlignment="1" applyProtection="1">
      <alignment vertical="center" wrapText="1"/>
    </xf>
    <xf numFmtId="0" fontId="160" fillId="5" borderId="16" xfId="0" applyFont="1" applyFill="1" applyBorder="1" applyAlignment="1">
      <alignment horizontal="left" wrapText="1"/>
    </xf>
    <xf numFmtId="0" fontId="160" fillId="5" borderId="0" xfId="0" applyFont="1" applyFill="1" applyAlignment="1">
      <alignment horizontal="left" wrapText="1"/>
    </xf>
    <xf numFmtId="2" fontId="132" fillId="5" borderId="0" xfId="6" applyNumberFormat="1" applyFont="1" applyFill="1" applyBorder="1" applyAlignment="1" applyProtection="1">
      <alignment wrapText="1"/>
    </xf>
    <xf numFmtId="9" fontId="132" fillId="5" borderId="33" xfId="6" applyFont="1" applyFill="1" applyBorder="1" applyAlignment="1" applyProtection="1">
      <alignment wrapText="1"/>
    </xf>
    <xf numFmtId="0" fontId="138" fillId="5" borderId="16" xfId="0" applyFont="1" applyFill="1" applyBorder="1" applyAlignment="1">
      <alignment horizontal="center" wrapText="1"/>
    </xf>
    <xf numFmtId="0" fontId="138" fillId="5" borderId="0" xfId="0" applyFont="1" applyFill="1" applyAlignment="1">
      <alignment horizontal="center" wrapText="1"/>
    </xf>
    <xf numFmtId="167" fontId="132" fillId="94" borderId="110" xfId="77" applyNumberFormat="1" applyFont="1" applyFill="1" applyBorder="1" applyAlignment="1" applyProtection="1">
      <alignment vertical="center" wrapText="1"/>
      <protection locked="0"/>
    </xf>
    <xf numFmtId="9" fontId="138" fillId="5" borderId="149" xfId="6" applyFont="1" applyFill="1" applyBorder="1" applyAlignment="1" applyProtection="1">
      <alignment vertical="center" wrapText="1"/>
    </xf>
    <xf numFmtId="0" fontId="132" fillId="5" borderId="150" xfId="0" applyFont="1" applyFill="1" applyBorder="1" applyAlignment="1">
      <alignment horizontal="left" wrapText="1" indent="1"/>
    </xf>
    <xf numFmtId="167" fontId="132" fillId="94" borderId="110" xfId="77" applyNumberFormat="1" applyFont="1" applyFill="1" applyBorder="1" applyAlignment="1" applyProtection="1">
      <alignment wrapText="1"/>
      <protection locked="0"/>
    </xf>
    <xf numFmtId="9" fontId="132" fillId="5" borderId="110" xfId="6" applyFont="1" applyFill="1" applyBorder="1" applyAlignment="1" applyProtection="1">
      <alignment wrapText="1"/>
    </xf>
    <xf numFmtId="9" fontId="132" fillId="5" borderId="140" xfId="6" applyFont="1" applyFill="1" applyBorder="1" applyAlignment="1" applyProtection="1">
      <alignment wrapText="1"/>
    </xf>
    <xf numFmtId="167" fontId="132" fillId="94" borderId="137" xfId="77" applyNumberFormat="1" applyFont="1" applyFill="1" applyBorder="1" applyAlignment="1" applyProtection="1">
      <alignment wrapText="1"/>
      <protection locked="0"/>
    </xf>
    <xf numFmtId="9" fontId="132" fillId="5" borderId="137" xfId="6" applyFont="1" applyFill="1" applyBorder="1" applyAlignment="1" applyProtection="1">
      <alignment wrapText="1"/>
    </xf>
    <xf numFmtId="9" fontId="132" fillId="5" borderId="141" xfId="6" applyFont="1" applyFill="1" applyBorder="1" applyAlignment="1" applyProtection="1">
      <alignment wrapText="1"/>
    </xf>
    <xf numFmtId="0" fontId="132" fillId="5" borderId="152" xfId="0" applyFont="1" applyFill="1" applyBorder="1" applyAlignment="1">
      <alignment horizontal="left" wrapText="1" indent="1"/>
    </xf>
    <xf numFmtId="167" fontId="132" fillId="94" borderId="118" xfId="77" applyNumberFormat="1" applyFont="1" applyFill="1" applyBorder="1" applyAlignment="1" applyProtection="1">
      <alignment wrapText="1"/>
      <protection locked="0"/>
    </xf>
    <xf numFmtId="9" fontId="132" fillId="5" borderId="118" xfId="6" applyFont="1" applyFill="1" applyBorder="1" applyAlignment="1" applyProtection="1">
      <alignment wrapText="1"/>
    </xf>
    <xf numFmtId="9" fontId="132" fillId="5" borderId="153" xfId="6" applyFont="1" applyFill="1" applyBorder="1" applyAlignment="1" applyProtection="1">
      <alignment wrapText="1"/>
    </xf>
    <xf numFmtId="0" fontId="168" fillId="5" borderId="0" xfId="0" applyFont="1" applyFill="1" applyAlignment="1">
      <alignment horizontal="right"/>
    </xf>
    <xf numFmtId="0" fontId="1" fillId="4" borderId="39" xfId="0" applyFont="1" applyFill="1" applyBorder="1" applyAlignment="1">
      <alignment horizontal="center" vertical="center" wrapText="1"/>
    </xf>
    <xf numFmtId="165" fontId="118" fillId="18" borderId="1" xfId="3" applyFont="1" applyFill="1" applyBorder="1" applyAlignment="1" applyProtection="1">
      <alignment horizontal="left"/>
      <protection locked="0"/>
    </xf>
    <xf numFmtId="0" fontId="118" fillId="0" borderId="0" xfId="0" applyFont="1"/>
    <xf numFmtId="0" fontId="144" fillId="5" borderId="0" xfId="0" applyFont="1" applyFill="1" applyAlignment="1">
      <alignment vertical="center" wrapText="1"/>
    </xf>
    <xf numFmtId="167" fontId="13" fillId="0" borderId="1" xfId="3" quotePrefix="1" applyNumberFormat="1" applyFont="1" applyFill="1" applyBorder="1" applyAlignment="1">
      <alignment horizontal="center"/>
    </xf>
    <xf numFmtId="0" fontId="23" fillId="63" borderId="55" xfId="0" applyFont="1" applyFill="1" applyBorder="1" applyAlignment="1">
      <alignment horizontal="center" vertical="center" wrapText="1"/>
    </xf>
    <xf numFmtId="0" fontId="23" fillId="63" borderId="22" xfId="0" applyFont="1" applyFill="1" applyBorder="1" applyAlignment="1">
      <alignment horizontal="center" wrapText="1"/>
    </xf>
    <xf numFmtId="0" fontId="23" fillId="63" borderId="56" xfId="0" applyFont="1" applyFill="1" applyBorder="1" applyAlignment="1">
      <alignment horizontal="center" vertical="center" wrapText="1"/>
    </xf>
    <xf numFmtId="0" fontId="0" fillId="0" borderId="3" xfId="0" applyBorder="1" applyAlignment="1">
      <alignment horizontal="left" vertical="center" wrapText="1"/>
    </xf>
    <xf numFmtId="0" fontId="78" fillId="0" borderId="41" xfId="0" applyFont="1" applyBorder="1" applyAlignment="1">
      <alignment horizontal="left" vertical="center" wrapText="1"/>
    </xf>
    <xf numFmtId="0" fontId="73" fillId="0" borderId="41" xfId="0" applyFont="1" applyBorder="1" applyAlignment="1">
      <alignment horizontal="left" vertical="center" wrapText="1"/>
    </xf>
    <xf numFmtId="0" fontId="17" fillId="0" borderId="0" xfId="0" applyFont="1" applyAlignment="1">
      <alignment horizontal="left" vertical="center"/>
    </xf>
    <xf numFmtId="0" fontId="78" fillId="0" borderId="0" xfId="0" applyFont="1" applyAlignment="1">
      <alignment horizontal="left" vertical="center" wrapText="1"/>
    </xf>
    <xf numFmtId="0" fontId="73" fillId="0" borderId="0" xfId="0" applyFont="1" applyAlignment="1">
      <alignment horizontal="left" vertical="center" wrapText="1"/>
    </xf>
    <xf numFmtId="0" fontId="6" fillId="63" borderId="23" xfId="0" applyFont="1" applyFill="1" applyBorder="1" applyAlignment="1">
      <alignment horizontal="left" vertical="center" wrapText="1"/>
    </xf>
    <xf numFmtId="0" fontId="6" fillId="63" borderId="39" xfId="0" applyFont="1" applyFill="1" applyBorder="1" applyAlignment="1">
      <alignment horizontal="left" vertical="center" wrapText="1"/>
    </xf>
    <xf numFmtId="0" fontId="6" fillId="0" borderId="41" xfId="0" applyFont="1" applyBorder="1" applyAlignment="1">
      <alignment horizontal="left" vertical="center" wrapText="1"/>
    </xf>
    <xf numFmtId="0" fontId="6" fillId="0" borderId="0" xfId="0" applyFont="1" applyAlignment="1">
      <alignment horizontal="left" vertical="center" wrapText="1"/>
    </xf>
    <xf numFmtId="0" fontId="6" fillId="0" borderId="0" xfId="0" quotePrefix="1" applyFont="1" applyAlignment="1">
      <alignment horizontal="left" vertical="center" wrapText="1"/>
    </xf>
    <xf numFmtId="0" fontId="6" fillId="63" borderId="53" xfId="0" applyFont="1" applyFill="1" applyBorder="1" applyAlignment="1">
      <alignment horizontal="left" vertical="center" wrapText="1"/>
    </xf>
    <xf numFmtId="0" fontId="76" fillId="0" borderId="0" xfId="0" applyFont="1" applyAlignment="1">
      <alignment horizontal="left" vertical="center"/>
    </xf>
    <xf numFmtId="0" fontId="6" fillId="5" borderId="0" xfId="0" applyFont="1" applyFill="1" applyAlignment="1">
      <alignment horizontal="left" vertical="center" wrapText="1"/>
    </xf>
    <xf numFmtId="0" fontId="0" fillId="5" borderId="0" xfId="0" applyFill="1" applyAlignment="1">
      <alignment horizontal="left" vertical="center"/>
    </xf>
    <xf numFmtId="0" fontId="23" fillId="63" borderId="155" xfId="0" applyFont="1" applyFill="1" applyBorder="1" applyAlignment="1">
      <alignment wrapText="1"/>
    </xf>
    <xf numFmtId="0" fontId="23" fillId="63" borderId="7" xfId="0" applyFont="1" applyFill="1" applyBorder="1" applyAlignment="1">
      <alignment wrapText="1"/>
    </xf>
    <xf numFmtId="0" fontId="16" fillId="0" borderId="39" xfId="0" applyFont="1" applyBorder="1" applyAlignment="1">
      <alignment wrapText="1"/>
    </xf>
    <xf numFmtId="0" fontId="6" fillId="0" borderId="41" xfId="0" applyFont="1" applyBorder="1"/>
    <xf numFmtId="0" fontId="6" fillId="0" borderId="41" xfId="0" applyFont="1" applyBorder="1" applyAlignment="1">
      <alignment wrapText="1"/>
    </xf>
    <xf numFmtId="0" fontId="183" fillId="0" borderId="41" xfId="0" applyFont="1" applyBorder="1"/>
    <xf numFmtId="0" fontId="184" fillId="0" borderId="39" xfId="0" applyFont="1" applyBorder="1"/>
    <xf numFmtId="0" fontId="184" fillId="0" borderId="53" xfId="0" applyFont="1" applyBorder="1"/>
    <xf numFmtId="0" fontId="183" fillId="0" borderId="44" xfId="0" applyFont="1" applyBorder="1"/>
    <xf numFmtId="0" fontId="0" fillId="0" borderId="39" xfId="0" applyBorder="1" applyAlignment="1">
      <alignment wrapText="1"/>
    </xf>
    <xf numFmtId="0" fontId="6" fillId="0" borderId="1" xfId="0" applyFont="1" applyBorder="1" applyAlignment="1">
      <alignment wrapText="1"/>
    </xf>
    <xf numFmtId="0" fontId="0" fillId="0" borderId="16" xfId="0" applyBorder="1" applyAlignment="1">
      <alignment wrapText="1"/>
    </xf>
    <xf numFmtId="0" fontId="23" fillId="63" borderId="156" xfId="0" applyFont="1" applyFill="1" applyBorder="1" applyAlignment="1">
      <alignment wrapText="1"/>
    </xf>
    <xf numFmtId="0" fontId="2" fillId="0" borderId="0" xfId="1" applyBorder="1" applyAlignment="1">
      <alignment wrapText="1"/>
    </xf>
    <xf numFmtId="0" fontId="23" fillId="63" borderId="23" xfId="0" applyFont="1" applyFill="1" applyBorder="1" applyAlignment="1">
      <alignment wrapText="1"/>
    </xf>
    <xf numFmtId="0" fontId="23" fillId="63" borderId="40" xfId="0" applyFont="1" applyFill="1" applyBorder="1" applyAlignment="1">
      <alignment wrapText="1"/>
    </xf>
    <xf numFmtId="0" fontId="0" fillId="0" borderId="39" xfId="0" applyBorder="1"/>
    <xf numFmtId="0" fontId="0" fillId="0" borderId="41" xfId="0" applyBorder="1"/>
    <xf numFmtId="0" fontId="0" fillId="0" borderId="53" xfId="0" applyBorder="1"/>
    <xf numFmtId="0" fontId="0" fillId="0" borderId="44" xfId="0" applyBorder="1"/>
    <xf numFmtId="0" fontId="6" fillId="0" borderId="44" xfId="0" applyFont="1" applyBorder="1"/>
    <xf numFmtId="0" fontId="23" fillId="63" borderId="23" xfId="0" applyFont="1" applyFill="1" applyBorder="1" applyAlignment="1">
      <alignment horizontal="center" wrapText="1"/>
    </xf>
    <xf numFmtId="0" fontId="23" fillId="63" borderId="40" xfId="0" applyFont="1" applyFill="1" applyBorder="1" applyAlignment="1">
      <alignment horizontal="center" wrapText="1"/>
    </xf>
    <xf numFmtId="0" fontId="78" fillId="5" borderId="39" xfId="0" applyFont="1" applyFill="1" applyBorder="1" applyAlignment="1">
      <alignment vertical="center"/>
    </xf>
    <xf numFmtId="0" fontId="6" fillId="5" borderId="41" xfId="0" applyFont="1" applyFill="1" applyBorder="1" applyAlignment="1">
      <alignment wrapText="1"/>
    </xf>
    <xf numFmtId="0" fontId="78" fillId="5" borderId="53" xfId="0" applyFont="1" applyFill="1" applyBorder="1" applyAlignment="1">
      <alignment vertical="center"/>
    </xf>
    <xf numFmtId="0" fontId="6" fillId="5" borderId="44" xfId="0" applyFont="1" applyFill="1" applyBorder="1" applyAlignment="1">
      <alignment wrapText="1"/>
    </xf>
    <xf numFmtId="0" fontId="0" fillId="0" borderId="4" xfId="0" applyBorder="1" applyAlignment="1">
      <alignment horizontal="left" vertical="center" wrapText="1"/>
    </xf>
    <xf numFmtId="0" fontId="185" fillId="0" borderId="0" xfId="0" applyFont="1"/>
    <xf numFmtId="175" fontId="41" fillId="10" borderId="11" xfId="3" applyNumberFormat="1" applyFont="1" applyFill="1" applyBorder="1" applyAlignment="1">
      <alignment horizontal="center" vertical="center" wrapText="1"/>
    </xf>
    <xf numFmtId="0" fontId="0" fillId="99" borderId="1" xfId="0" applyFill="1" applyBorder="1"/>
    <xf numFmtId="0" fontId="0" fillId="76" borderId="7" xfId="0" applyFill="1" applyBorder="1"/>
    <xf numFmtId="0" fontId="39" fillId="100" borderId="7" xfId="0" applyFont="1" applyFill="1" applyBorder="1"/>
    <xf numFmtId="0" fontId="0" fillId="76" borderId="1" xfId="0" applyFill="1" applyBorder="1"/>
    <xf numFmtId="0" fontId="39" fillId="100" borderId="1" xfId="0" applyFont="1" applyFill="1" applyBorder="1"/>
    <xf numFmtId="0" fontId="187" fillId="14" borderId="158" xfId="0" applyFont="1" applyFill="1" applyBorder="1"/>
    <xf numFmtId="0" fontId="188" fillId="14" borderId="159" xfId="0" applyFont="1" applyFill="1" applyBorder="1"/>
    <xf numFmtId="0" fontId="39" fillId="14" borderId="159" xfId="0" applyFont="1" applyFill="1" applyBorder="1"/>
    <xf numFmtId="167" fontId="13" fillId="14" borderId="159" xfId="3" quotePrefix="1" applyNumberFormat="1" applyFont="1" applyFill="1" applyBorder="1" applyAlignment="1">
      <alignment horizontal="center"/>
    </xf>
    <xf numFmtId="174" fontId="13" fillId="14" borderId="159" xfId="6" applyNumberFormat="1" applyFont="1" applyFill="1" applyBorder="1" applyAlignment="1">
      <alignment horizontal="center"/>
    </xf>
    <xf numFmtId="165" fontId="0" fillId="14" borderId="160" xfId="3" applyFont="1" applyFill="1" applyBorder="1"/>
    <xf numFmtId="0" fontId="0" fillId="14" borderId="160" xfId="0" applyFill="1" applyBorder="1"/>
    <xf numFmtId="0" fontId="189" fillId="14" borderId="162" xfId="0" applyFont="1" applyFill="1" applyBorder="1"/>
    <xf numFmtId="0" fontId="189" fillId="14" borderId="162" xfId="0" applyFont="1" applyFill="1" applyBorder="1" applyAlignment="1">
      <alignment wrapText="1"/>
    </xf>
    <xf numFmtId="0" fontId="39" fillId="14" borderId="162" xfId="0" applyFont="1" applyFill="1" applyBorder="1" applyAlignment="1">
      <alignment wrapText="1"/>
    </xf>
    <xf numFmtId="167" fontId="13" fillId="14" borderId="162" xfId="3" quotePrefix="1" applyNumberFormat="1" applyFont="1" applyFill="1" applyBorder="1" applyAlignment="1">
      <alignment horizontal="center"/>
    </xf>
    <xf numFmtId="174" fontId="13" fillId="14" borderId="162" xfId="6" applyNumberFormat="1" applyFont="1" applyFill="1" applyBorder="1" applyAlignment="1">
      <alignment horizontal="center"/>
    </xf>
    <xf numFmtId="165" fontId="0" fillId="14" borderId="162" xfId="3" applyFont="1" applyFill="1" applyBorder="1"/>
    <xf numFmtId="0" fontId="0" fillId="14" borderId="162" xfId="0" applyFill="1" applyBorder="1"/>
    <xf numFmtId="0" fontId="189" fillId="14" borderId="163" xfId="0" applyFont="1" applyFill="1" applyBorder="1"/>
    <xf numFmtId="0" fontId="39" fillId="14" borderId="163" xfId="0" applyFont="1" applyFill="1" applyBorder="1"/>
    <xf numFmtId="167" fontId="13" fillId="14" borderId="163" xfId="3" quotePrefix="1" applyNumberFormat="1" applyFont="1" applyFill="1" applyBorder="1" applyAlignment="1">
      <alignment horizontal="center"/>
    </xf>
    <xf numFmtId="174" fontId="13" fillId="14" borderId="163" xfId="6" applyNumberFormat="1" applyFont="1" applyFill="1" applyBorder="1" applyAlignment="1">
      <alignment horizontal="center"/>
    </xf>
    <xf numFmtId="165" fontId="0" fillId="14" borderId="163" xfId="3" applyFont="1" applyFill="1" applyBorder="1"/>
    <xf numFmtId="0" fontId="0" fillId="14" borderId="163" xfId="0" applyFill="1" applyBorder="1"/>
    <xf numFmtId="0" fontId="188" fillId="14" borderId="164" xfId="0" applyFont="1" applyFill="1" applyBorder="1"/>
    <xf numFmtId="174" fontId="190" fillId="2" borderId="1" xfId="6" applyNumberFormat="1" applyFont="1" applyFill="1" applyBorder="1" applyAlignment="1">
      <alignment horizontal="center"/>
    </xf>
    <xf numFmtId="174" fontId="13" fillId="58" borderId="1" xfId="6" applyNumberFormat="1" applyFont="1" applyFill="1" applyBorder="1" applyAlignment="1">
      <alignment horizontal="center"/>
    </xf>
    <xf numFmtId="174" fontId="23" fillId="8" borderId="1" xfId="6" applyNumberFormat="1" applyFont="1" applyFill="1" applyBorder="1" applyAlignment="1">
      <alignment horizontal="center"/>
    </xf>
    <xf numFmtId="167" fontId="13" fillId="0" borderId="7" xfId="3" quotePrefix="1" applyNumberFormat="1" applyFont="1" applyFill="1" applyBorder="1" applyAlignment="1">
      <alignment horizontal="center"/>
    </xf>
    <xf numFmtId="174" fontId="23" fillId="2" borderId="7" xfId="6" applyNumberFormat="1" applyFont="1" applyFill="1" applyBorder="1" applyAlignment="1">
      <alignment horizontal="center"/>
    </xf>
    <xf numFmtId="0" fontId="0" fillId="0" borderId="43" xfId="0" applyBorder="1"/>
    <xf numFmtId="0" fontId="0" fillId="99" borderId="43" xfId="0" applyFill="1" applyBorder="1"/>
    <xf numFmtId="0" fontId="43" fillId="20" borderId="43" xfId="0" applyFont="1" applyFill="1" applyBorder="1"/>
    <xf numFmtId="167" fontId="23" fillId="0" borderId="43" xfId="3" quotePrefix="1" applyNumberFormat="1" applyFont="1" applyFill="1" applyBorder="1" applyAlignment="1">
      <alignment horizontal="center"/>
    </xf>
    <xf numFmtId="174" fontId="23" fillId="0" borderId="43" xfId="6" applyNumberFormat="1" applyFont="1" applyFill="1" applyBorder="1" applyAlignment="1">
      <alignment horizontal="center"/>
    </xf>
    <xf numFmtId="0" fontId="41" fillId="10" borderId="23" xfId="0" applyFont="1" applyFill="1" applyBorder="1" applyAlignment="1">
      <alignment horizontal="center" vertical="center"/>
    </xf>
    <xf numFmtId="0" fontId="41" fillId="10" borderId="22" xfId="0" applyFont="1" applyFill="1" applyBorder="1" applyAlignment="1">
      <alignment horizontal="center" vertical="center"/>
    </xf>
    <xf numFmtId="0" fontId="41" fillId="10" borderId="1" xfId="0" applyFont="1" applyFill="1" applyBorder="1" applyAlignment="1">
      <alignment horizontal="center" vertical="center" wrapText="1"/>
    </xf>
    <xf numFmtId="0" fontId="41" fillId="10" borderId="32" xfId="0" applyFont="1" applyFill="1" applyBorder="1" applyAlignment="1">
      <alignment horizontal="center" vertical="center" wrapText="1"/>
    </xf>
    <xf numFmtId="0" fontId="13" fillId="52" borderId="42" xfId="0" applyFont="1" applyFill="1" applyBorder="1"/>
    <xf numFmtId="0" fontId="13" fillId="52" borderId="8" xfId="0" applyFont="1" applyFill="1" applyBorder="1"/>
    <xf numFmtId="0" fontId="16" fillId="52" borderId="7" xfId="0" applyFont="1" applyFill="1" applyBorder="1" applyAlignment="1">
      <alignment horizontal="right"/>
    </xf>
    <xf numFmtId="167" fontId="16" fillId="52" borderId="1" xfId="0" applyNumberFormat="1" applyFont="1" applyFill="1" applyBorder="1" applyAlignment="1">
      <alignment horizontal="right"/>
    </xf>
    <xf numFmtId="0" fontId="16" fillId="52" borderId="16" xfId="0" applyFont="1" applyFill="1" applyBorder="1"/>
    <xf numFmtId="0" fontId="16" fillId="52" borderId="0" xfId="0" applyFont="1" applyFill="1"/>
    <xf numFmtId="0" fontId="16" fillId="52" borderId="1" xfId="0" applyFont="1" applyFill="1" applyBorder="1" applyAlignment="1">
      <alignment horizontal="right"/>
    </xf>
    <xf numFmtId="0" fontId="13" fillId="52" borderId="2" xfId="0" applyFont="1" applyFill="1" applyBorder="1"/>
    <xf numFmtId="0" fontId="13" fillId="52" borderId="12" xfId="0" applyFont="1" applyFill="1" applyBorder="1"/>
    <xf numFmtId="0" fontId="13" fillId="8" borderId="39" xfId="0" applyFont="1" applyFill="1" applyBorder="1"/>
    <xf numFmtId="0" fontId="13" fillId="8" borderId="5" xfId="0" applyFont="1" applyFill="1" applyBorder="1"/>
    <xf numFmtId="0" fontId="16" fillId="8" borderId="1" xfId="0" applyFont="1" applyFill="1" applyBorder="1" applyAlignment="1">
      <alignment horizontal="right"/>
    </xf>
    <xf numFmtId="167" fontId="16" fillId="8" borderId="1" xfId="3" applyNumberFormat="1" applyFont="1" applyFill="1" applyBorder="1" applyAlignment="1">
      <alignment horizontal="center"/>
    </xf>
    <xf numFmtId="0" fontId="13" fillId="51" borderId="39" xfId="0" applyFont="1" applyFill="1" applyBorder="1"/>
    <xf numFmtId="0" fontId="16" fillId="51" borderId="1" xfId="0" applyFont="1" applyFill="1" applyBorder="1" applyAlignment="1">
      <alignment horizontal="right"/>
    </xf>
    <xf numFmtId="167" fontId="16" fillId="51" borderId="1" xfId="0" applyNumberFormat="1" applyFont="1" applyFill="1" applyBorder="1" applyAlignment="1">
      <alignment horizontal="right"/>
    </xf>
    <xf numFmtId="0" fontId="13" fillId="51" borderId="16" xfId="0" applyFont="1" applyFill="1" applyBorder="1"/>
    <xf numFmtId="0" fontId="16" fillId="51" borderId="7" xfId="0" applyFont="1" applyFill="1" applyBorder="1" applyAlignment="1">
      <alignment horizontal="right"/>
    </xf>
    <xf numFmtId="0" fontId="16" fillId="51" borderId="0" xfId="0" applyFont="1" applyFill="1"/>
    <xf numFmtId="0" fontId="16" fillId="51" borderId="16" xfId="0" applyFont="1" applyFill="1" applyBorder="1"/>
    <xf numFmtId="167" fontId="16" fillId="51" borderId="1" xfId="3" applyNumberFormat="1" applyFont="1" applyFill="1" applyBorder="1" applyAlignment="1">
      <alignment horizontal="center"/>
    </xf>
    <xf numFmtId="0" fontId="13" fillId="51" borderId="5" xfId="0" applyFont="1" applyFill="1" applyBorder="1" applyAlignment="1">
      <alignment horizontal="left"/>
    </xf>
    <xf numFmtId="0" fontId="16" fillId="51" borderId="3" xfId="0" applyFont="1" applyFill="1" applyBorder="1" applyAlignment="1">
      <alignment horizontal="right"/>
    </xf>
    <xf numFmtId="0" fontId="13" fillId="51" borderId="9" xfId="0" applyFont="1" applyFill="1" applyBorder="1"/>
    <xf numFmtId="0" fontId="13" fillId="51" borderId="13" xfId="0" applyFont="1" applyFill="1" applyBorder="1"/>
    <xf numFmtId="0" fontId="16" fillId="51" borderId="17" xfId="0" applyFont="1" applyFill="1" applyBorder="1"/>
    <xf numFmtId="0" fontId="13" fillId="51" borderId="165" xfId="0" applyFont="1" applyFill="1" applyBorder="1" applyAlignment="1">
      <alignment horizontal="left"/>
    </xf>
    <xf numFmtId="0" fontId="6" fillId="14" borderId="14" xfId="0" applyFont="1" applyFill="1" applyBorder="1" applyAlignment="1">
      <alignment horizontal="right"/>
    </xf>
    <xf numFmtId="0" fontId="6" fillId="2" borderId="14" xfId="0" applyFont="1" applyFill="1" applyBorder="1" applyAlignment="1">
      <alignment horizontal="right" vertical="center"/>
    </xf>
    <xf numFmtId="0" fontId="16" fillId="89" borderId="1" xfId="0" applyFont="1" applyFill="1" applyBorder="1" applyAlignment="1">
      <alignment horizontal="right"/>
    </xf>
    <xf numFmtId="165" fontId="16" fillId="89" borderId="7" xfId="3" applyFont="1" applyFill="1" applyBorder="1"/>
    <xf numFmtId="165" fontId="16" fillId="8" borderId="1" xfId="3" applyFont="1" applyFill="1" applyBorder="1"/>
    <xf numFmtId="165" fontId="16" fillId="51" borderId="1" xfId="3" applyFont="1" applyFill="1" applyBorder="1"/>
    <xf numFmtId="0" fontId="39" fillId="20" borderId="1" xfId="0" applyFont="1" applyFill="1" applyBorder="1" applyAlignment="1">
      <alignment horizontal="right"/>
    </xf>
    <xf numFmtId="165" fontId="39" fillId="20" borderId="1" xfId="3" applyFont="1" applyFill="1" applyBorder="1"/>
    <xf numFmtId="0" fontId="13" fillId="5" borderId="0" xfId="0" applyFont="1" applyFill="1" applyAlignment="1">
      <alignment horizontal="left"/>
    </xf>
    <xf numFmtId="0" fontId="16" fillId="5" borderId="0" xfId="0" applyFont="1" applyFill="1" applyAlignment="1">
      <alignment horizontal="right"/>
    </xf>
    <xf numFmtId="167" fontId="16" fillId="5" borderId="0" xfId="0" applyNumberFormat="1" applyFont="1" applyFill="1" applyAlignment="1">
      <alignment horizontal="right"/>
    </xf>
    <xf numFmtId="0" fontId="16" fillId="51" borderId="43" xfId="0" applyFont="1" applyFill="1" applyBorder="1" applyAlignment="1">
      <alignment horizontal="right"/>
    </xf>
    <xf numFmtId="167" fontId="16" fillId="51" borderId="43" xfId="0" applyNumberFormat="1" applyFont="1" applyFill="1" applyBorder="1" applyAlignment="1">
      <alignment horizontal="right"/>
    </xf>
    <xf numFmtId="167" fontId="190" fillId="2" borderId="1" xfId="3" applyNumberFormat="1" applyFont="1" applyFill="1" applyBorder="1" applyAlignment="1">
      <alignment horizontal="center"/>
    </xf>
    <xf numFmtId="167" fontId="190" fillId="58" borderId="1" xfId="3" applyNumberFormat="1" applyFont="1" applyFill="1" applyBorder="1" applyAlignment="1">
      <alignment horizontal="center"/>
    </xf>
    <xf numFmtId="0" fontId="6" fillId="8" borderId="1" xfId="0" applyFont="1" applyFill="1" applyBorder="1" applyAlignment="1">
      <alignment horizontal="center" vertical="center" wrapText="1"/>
    </xf>
    <xf numFmtId="1" fontId="0" fillId="101" borderId="1" xfId="0" applyNumberFormat="1" applyFill="1" applyBorder="1" applyAlignment="1">
      <alignment horizontal="center" vertical="center"/>
    </xf>
    <xf numFmtId="3" fontId="0" fillId="4" borderId="1" xfId="3" applyNumberFormat="1" applyFont="1" applyFill="1" applyBorder="1" applyAlignment="1" applyProtection="1">
      <alignment horizontal="center" vertical="center" wrapText="1"/>
    </xf>
    <xf numFmtId="3" fontId="0" fillId="4" borderId="1" xfId="3" applyNumberFormat="1" applyFont="1" applyFill="1" applyBorder="1" applyAlignment="1" applyProtection="1">
      <alignment horizontal="center" vertical="center"/>
    </xf>
    <xf numFmtId="3" fontId="0" fillId="4" borderId="1" xfId="0" applyNumberFormat="1" applyFill="1" applyBorder="1" applyAlignment="1">
      <alignment horizontal="center" vertical="center"/>
    </xf>
    <xf numFmtId="3" fontId="0" fillId="101" borderId="1" xfId="3" applyNumberFormat="1" applyFont="1" applyFill="1" applyBorder="1" applyAlignment="1" applyProtection="1">
      <alignment horizontal="center" vertical="center" wrapText="1"/>
    </xf>
    <xf numFmtId="3" fontId="0" fillId="4" borderId="0" xfId="0" applyNumberFormat="1" applyFill="1" applyAlignment="1">
      <alignment horizontal="center" vertical="center"/>
    </xf>
    <xf numFmtId="3" fontId="0" fillId="3" borderId="1" xfId="3" applyNumberFormat="1" applyFont="1" applyFill="1" applyBorder="1" applyAlignment="1" applyProtection="1">
      <alignment horizontal="center" vertical="center" wrapText="1"/>
    </xf>
    <xf numFmtId="4" fontId="0" fillId="3" borderId="1" xfId="3" applyNumberFormat="1" applyFont="1" applyFill="1" applyBorder="1" applyAlignment="1" applyProtection="1">
      <alignment horizontal="center" vertical="center" wrapText="1"/>
    </xf>
    <xf numFmtId="4" fontId="0" fillId="4" borderId="1" xfId="3" applyNumberFormat="1" applyFont="1" applyFill="1" applyBorder="1" applyAlignment="1" applyProtection="1">
      <alignment horizontal="center" vertical="center" wrapText="1"/>
    </xf>
    <xf numFmtId="0" fontId="0" fillId="5" borderId="0" xfId="0" applyFill="1" applyAlignment="1">
      <alignment horizontal="center" vertical="center"/>
    </xf>
    <xf numFmtId="165" fontId="0" fillId="5" borderId="0" xfId="3" applyFont="1" applyFill="1" applyProtection="1"/>
    <xf numFmtId="0" fontId="189" fillId="14" borderId="161" xfId="0" applyFont="1" applyFill="1" applyBorder="1"/>
    <xf numFmtId="165" fontId="189" fillId="14" borderId="157" xfId="3" applyFont="1" applyFill="1" applyBorder="1" applyAlignment="1"/>
    <xf numFmtId="166" fontId="23" fillId="2" borderId="1" xfId="0" applyNumberFormat="1" applyFont="1" applyFill="1" applyBorder="1" applyAlignment="1" applyProtection="1">
      <alignment horizontal="center" vertical="center" wrapText="1"/>
      <protection locked="0"/>
    </xf>
    <xf numFmtId="0" fontId="203" fillId="0" borderId="0" xfId="0" applyFont="1"/>
    <xf numFmtId="0" fontId="16" fillId="0" borderId="62" xfId="0" applyFont="1" applyBorder="1" applyAlignment="1">
      <alignment horizontal="left" vertical="top"/>
    </xf>
    <xf numFmtId="0" fontId="0" fillId="0" borderId="62" xfId="0" applyBorder="1" applyAlignment="1">
      <alignment horizontal="left" vertical="top"/>
    </xf>
    <xf numFmtId="0" fontId="4" fillId="7" borderId="54" xfId="0" applyFont="1" applyFill="1" applyBorder="1" applyAlignment="1">
      <alignment horizontal="left"/>
    </xf>
    <xf numFmtId="0" fontId="4" fillId="7" borderId="55" xfId="0" applyFont="1" applyFill="1" applyBorder="1" applyAlignment="1">
      <alignment horizontal="left" wrapText="1"/>
    </xf>
    <xf numFmtId="0" fontId="4" fillId="7" borderId="56" xfId="0" applyFont="1" applyFill="1" applyBorder="1" applyAlignment="1">
      <alignment horizontal="left" wrapText="1"/>
    </xf>
    <xf numFmtId="0" fontId="3" fillId="54" borderId="42" xfId="0" applyFont="1" applyFill="1" applyBorder="1" applyAlignment="1">
      <alignment vertical="center" wrapText="1"/>
    </xf>
    <xf numFmtId="165" fontId="3" fillId="0" borderId="7" xfId="3" applyFont="1" applyFill="1" applyBorder="1" applyAlignment="1">
      <alignment vertical="center"/>
    </xf>
    <xf numFmtId="0" fontId="3" fillId="54" borderId="194" xfId="0" applyFont="1" applyFill="1" applyBorder="1" applyAlignment="1">
      <alignment horizontal="center"/>
    </xf>
    <xf numFmtId="0" fontId="3" fillId="54" borderId="39" xfId="0" applyFont="1" applyFill="1" applyBorder="1" applyAlignment="1">
      <alignment vertical="center" wrapText="1"/>
    </xf>
    <xf numFmtId="165" fontId="3" fillId="0" borderId="1" xfId="3" applyFont="1" applyFill="1" applyBorder="1" applyAlignment="1">
      <alignment vertical="center"/>
    </xf>
    <xf numFmtId="0" fontId="3" fillId="0" borderId="41" xfId="0" applyFont="1" applyBorder="1" applyAlignment="1">
      <alignment horizontal="center"/>
    </xf>
    <xf numFmtId="189" fontId="3" fillId="5" borderId="1" xfId="3" applyNumberFormat="1" applyFont="1" applyFill="1" applyBorder="1" applyAlignment="1">
      <alignment vertical="center"/>
    </xf>
    <xf numFmtId="0" fontId="206" fillId="0" borderId="0" xfId="0" applyFont="1" applyAlignment="1">
      <alignment vertical="center"/>
    </xf>
    <xf numFmtId="0" fontId="0" fillId="0" borderId="37" xfId="0" applyBorder="1" applyAlignment="1">
      <alignment vertical="center" wrapText="1"/>
    </xf>
    <xf numFmtId="0" fontId="0" fillId="0" borderId="34" xfId="0" applyBorder="1" applyAlignment="1">
      <alignment horizontal="center" vertical="center" wrapText="1"/>
    </xf>
    <xf numFmtId="0" fontId="6" fillId="70" borderId="49" xfId="0" applyFont="1" applyFill="1" applyBorder="1" applyAlignment="1">
      <alignment horizontal="center" vertical="center" wrapText="1"/>
    </xf>
    <xf numFmtId="0" fontId="6" fillId="70" borderId="33" xfId="0" applyFont="1" applyFill="1" applyBorder="1" applyAlignment="1">
      <alignment horizontal="center" vertical="center" wrapText="1"/>
    </xf>
    <xf numFmtId="0" fontId="0" fillId="70" borderId="34" xfId="0" applyFill="1" applyBorder="1" applyAlignment="1">
      <alignment vertical="top" wrapText="1"/>
    </xf>
    <xf numFmtId="0" fontId="6" fillId="70" borderId="34" xfId="0" applyFont="1" applyFill="1" applyBorder="1" applyAlignment="1">
      <alignment horizontal="center" vertical="center" wrapText="1"/>
    </xf>
    <xf numFmtId="0" fontId="5" fillId="0" borderId="34" xfId="0" applyFont="1" applyBorder="1" applyAlignment="1">
      <alignment horizontal="center" vertical="center" wrapText="1"/>
    </xf>
    <xf numFmtId="0" fontId="6" fillId="70" borderId="14" xfId="0" applyFont="1" applyFill="1" applyBorder="1" applyAlignment="1">
      <alignment vertical="center" wrapText="1"/>
    </xf>
    <xf numFmtId="0" fontId="6" fillId="70" borderId="45" xfId="0" applyFont="1" applyFill="1" applyBorder="1" applyAlignment="1">
      <alignment horizontal="center" vertical="center" wrapText="1"/>
    </xf>
    <xf numFmtId="0" fontId="78" fillId="0" borderId="34" xfId="0" applyFont="1" applyBorder="1" applyAlignment="1">
      <alignment horizontal="center" vertical="center" wrapText="1"/>
    </xf>
    <xf numFmtId="0" fontId="0" fillId="0" borderId="36" xfId="0" applyBorder="1" applyAlignment="1">
      <alignment vertical="center" wrapText="1"/>
    </xf>
    <xf numFmtId="0" fontId="78" fillId="0" borderId="36" xfId="0" applyFont="1" applyBorder="1" applyAlignment="1">
      <alignment vertical="center" wrapText="1"/>
    </xf>
    <xf numFmtId="0" fontId="0" fillId="0" borderId="0" xfId="0" applyAlignment="1">
      <alignment vertical="center" wrapText="1"/>
    </xf>
    <xf numFmtId="0" fontId="78" fillId="0" borderId="0" xfId="0" applyFont="1" applyAlignment="1">
      <alignment horizontal="center" vertical="center" wrapText="1"/>
    </xf>
    <xf numFmtId="0" fontId="6" fillId="72" borderId="63" xfId="0" applyFont="1" applyFill="1" applyBorder="1" applyAlignment="1">
      <alignment horizontal="left" vertical="top"/>
    </xf>
    <xf numFmtId="0" fontId="3" fillId="54" borderId="99" xfId="0" applyFont="1" applyFill="1" applyBorder="1" applyAlignment="1">
      <alignment vertical="center" wrapText="1"/>
    </xf>
    <xf numFmtId="0" fontId="3" fillId="0" borderId="38" xfId="0" applyFont="1" applyBorder="1" applyAlignment="1">
      <alignment vertical="center" wrapText="1"/>
    </xf>
    <xf numFmtId="189" fontId="3" fillId="0" borderId="38" xfId="3" applyNumberFormat="1" applyFont="1" applyFill="1" applyBorder="1" applyAlignment="1">
      <alignment vertical="center"/>
    </xf>
    <xf numFmtId="0" fontId="3" fillId="0" borderId="0" xfId="0" applyFont="1" applyAlignment="1">
      <alignment vertical="center" wrapText="1"/>
    </xf>
    <xf numFmtId="189" fontId="3" fillId="0" borderId="0" xfId="3" applyNumberFormat="1" applyFont="1" applyFill="1" applyBorder="1" applyAlignment="1">
      <alignment vertical="center"/>
    </xf>
    <xf numFmtId="0" fontId="4" fillId="7" borderId="1" xfId="0" applyFont="1" applyFill="1" applyBorder="1" applyAlignment="1">
      <alignment horizontal="left"/>
    </xf>
    <xf numFmtId="0" fontId="4" fillId="7" borderId="1" xfId="0" applyFont="1" applyFill="1" applyBorder="1" applyAlignment="1">
      <alignment horizontal="left" wrapText="1"/>
    </xf>
    <xf numFmtId="0" fontId="3" fillId="54" borderId="1" xfId="0" applyFont="1" applyFill="1" applyBorder="1" applyAlignment="1">
      <alignment vertical="center" wrapText="1"/>
    </xf>
    <xf numFmtId="0" fontId="0" fillId="102" borderId="37" xfId="0" applyFill="1" applyBorder="1" applyAlignment="1">
      <alignment vertical="center" wrapText="1"/>
    </xf>
    <xf numFmtId="0" fontId="5" fillId="102" borderId="34" xfId="0" applyFont="1" applyFill="1" applyBorder="1" applyAlignment="1">
      <alignment horizontal="center" vertical="center" wrapText="1"/>
    </xf>
    <xf numFmtId="0" fontId="0" fillId="102" borderId="34" xfId="0" applyFill="1" applyBorder="1" applyAlignment="1">
      <alignment horizontal="center" vertical="center" wrapText="1"/>
    </xf>
    <xf numFmtId="169" fontId="207" fillId="4" borderId="5" xfId="0" applyNumberFormat="1" applyFont="1" applyFill="1" applyBorder="1" applyAlignment="1">
      <alignment horizontal="center" vertical="center" wrapText="1"/>
    </xf>
    <xf numFmtId="0" fontId="6" fillId="103" borderId="49" xfId="0" applyFont="1" applyFill="1" applyBorder="1" applyAlignment="1">
      <alignment horizontal="center" vertical="center" wrapText="1"/>
    </xf>
    <xf numFmtId="0" fontId="6" fillId="103" borderId="34"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40" xfId="0" applyFont="1" applyFill="1" applyBorder="1" applyAlignment="1">
      <alignment horizontal="center" vertical="center" wrapText="1"/>
    </xf>
    <xf numFmtId="49" fontId="121" fillId="11" borderId="39" xfId="0" applyNumberFormat="1" applyFont="1" applyFill="1" applyBorder="1" applyAlignment="1">
      <alignment horizontal="center" vertical="center" wrapText="1"/>
    </xf>
    <xf numFmtId="0" fontId="1" fillId="4" borderId="41" xfId="0" applyFont="1" applyFill="1" applyBorder="1"/>
    <xf numFmtId="49" fontId="121" fillId="11" borderId="53" xfId="0" applyNumberFormat="1" applyFont="1" applyFill="1" applyBorder="1" applyAlignment="1">
      <alignment horizontal="center" vertical="center" wrapText="1"/>
    </xf>
    <xf numFmtId="0" fontId="1" fillId="4" borderId="44" xfId="0" applyFont="1" applyFill="1" applyBorder="1"/>
    <xf numFmtId="0" fontId="0" fillId="4" borderId="23" xfId="0" applyFill="1" applyBorder="1" applyAlignment="1">
      <alignment horizontal="center" vertical="center" wrapText="1"/>
    </xf>
    <xf numFmtId="0" fontId="0" fillId="4" borderId="40" xfId="0" applyFill="1" applyBorder="1" applyAlignment="1">
      <alignment horizontal="center" vertical="center" wrapText="1"/>
    </xf>
    <xf numFmtId="0" fontId="8" fillId="4" borderId="53" xfId="0" applyFont="1" applyFill="1" applyBorder="1" applyAlignment="1">
      <alignment horizontal="center" vertical="center"/>
    </xf>
    <xf numFmtId="0" fontId="8" fillId="4" borderId="44" xfId="0" applyFont="1" applyFill="1" applyBorder="1" applyAlignment="1">
      <alignment horizontal="center" vertical="center"/>
    </xf>
    <xf numFmtId="49" fontId="1" fillId="11" borderId="1" xfId="0" applyNumberFormat="1" applyFont="1" applyFill="1" applyBorder="1" applyAlignment="1">
      <alignment horizontal="center" vertical="center" wrapText="1"/>
    </xf>
    <xf numFmtId="0" fontId="3" fillId="54" borderId="23" xfId="0" applyFont="1" applyFill="1" applyBorder="1" applyAlignment="1">
      <alignment wrapText="1"/>
    </xf>
    <xf numFmtId="0" fontId="3" fillId="54" borderId="42" xfId="0" applyFont="1" applyFill="1" applyBorder="1" applyAlignment="1">
      <alignment wrapText="1"/>
    </xf>
    <xf numFmtId="0" fontId="3" fillId="54" borderId="53" xfId="0" applyFont="1" applyFill="1" applyBorder="1" applyAlignment="1">
      <alignment wrapText="1"/>
    </xf>
    <xf numFmtId="176" fontId="3" fillId="54" borderId="23" xfId="3" applyNumberFormat="1" applyFont="1" applyFill="1" applyBorder="1" applyAlignment="1">
      <alignment wrapText="1"/>
    </xf>
    <xf numFmtId="0" fontId="0" fillId="0" borderId="41" xfId="0" applyBorder="1" applyAlignment="1">
      <alignment horizontal="left" vertical="center" wrapText="1"/>
    </xf>
    <xf numFmtId="0" fontId="6" fillId="0" borderId="1" xfId="0" applyFont="1" applyBorder="1" applyAlignment="1">
      <alignment horizontal="left" vertical="center" wrapText="1"/>
    </xf>
    <xf numFmtId="173" fontId="6" fillId="0" borderId="1" xfId="0" applyNumberFormat="1" applyFont="1" applyBorder="1" applyAlignment="1">
      <alignment horizontal="left" vertical="center"/>
    </xf>
    <xf numFmtId="0" fontId="0" fillId="0" borderId="22" xfId="0" applyBorder="1" applyAlignment="1">
      <alignment horizontal="left" vertical="center"/>
    </xf>
    <xf numFmtId="0" fontId="6" fillId="63" borderId="40" xfId="0" applyFont="1" applyFill="1" applyBorder="1" applyAlignment="1">
      <alignment horizontal="left" vertical="center" wrapText="1"/>
    </xf>
    <xf numFmtId="0" fontId="1" fillId="0" borderId="41" xfId="0" applyFont="1" applyBorder="1"/>
    <xf numFmtId="0" fontId="0" fillId="0" borderId="41" xfId="0" quotePrefix="1" applyBorder="1" applyAlignment="1">
      <alignment horizontal="left" vertical="center" wrapText="1"/>
    </xf>
    <xf numFmtId="173" fontId="6" fillId="0" borderId="43" xfId="0" applyNumberFormat="1" applyFont="1" applyBorder="1" applyAlignment="1">
      <alignment horizontal="left" vertical="center"/>
    </xf>
    <xf numFmtId="0" fontId="0" fillId="0" borderId="44" xfId="0" quotePrefix="1" applyBorder="1" applyAlignment="1">
      <alignment horizontal="left" vertical="center" wrapText="1"/>
    </xf>
    <xf numFmtId="0" fontId="0" fillId="9" borderId="61" xfId="0" applyFill="1" applyBorder="1" applyAlignment="1">
      <alignment horizontal="left" vertical="top"/>
    </xf>
    <xf numFmtId="173" fontId="16" fillId="9" borderId="61" xfId="0" applyNumberFormat="1" applyFont="1" applyFill="1" applyBorder="1" applyAlignment="1">
      <alignment horizontal="right" vertical="top"/>
    </xf>
    <xf numFmtId="169" fontId="16" fillId="9" borderId="61" xfId="0" applyNumberFormat="1" applyFont="1" applyFill="1" applyBorder="1" applyAlignment="1">
      <alignment horizontal="right" vertical="top"/>
    </xf>
    <xf numFmtId="181" fontId="16" fillId="9" borderId="61" xfId="0" applyNumberFormat="1" applyFont="1" applyFill="1" applyBorder="1" applyAlignment="1">
      <alignment horizontal="right" vertical="top"/>
    </xf>
    <xf numFmtId="0" fontId="16" fillId="9" borderId="62" xfId="0" applyFont="1" applyFill="1" applyBorder="1" applyAlignment="1">
      <alignment horizontal="left" vertical="top"/>
    </xf>
    <xf numFmtId="9" fontId="0" fillId="9" borderId="0" xfId="6" applyFont="1" applyFill="1" applyBorder="1"/>
    <xf numFmtId="180" fontId="16" fillId="9" borderId="61" xfId="0" applyNumberFormat="1" applyFont="1" applyFill="1" applyBorder="1" applyAlignment="1">
      <alignment horizontal="right" vertical="top"/>
    </xf>
    <xf numFmtId="0" fontId="0" fillId="9" borderId="62" xfId="0" applyFill="1" applyBorder="1" applyAlignment="1">
      <alignment horizontal="left" vertical="top"/>
    </xf>
    <xf numFmtId="173" fontId="0" fillId="9" borderId="0" xfId="0" applyNumberFormat="1" applyFill="1" applyAlignment="1">
      <alignment horizontal="right" vertical="top"/>
    </xf>
    <xf numFmtId="0" fontId="6" fillId="0" borderId="14" xfId="0" applyFont="1" applyBorder="1" applyAlignment="1">
      <alignment vertical="center" wrapText="1"/>
    </xf>
    <xf numFmtId="0" fontId="6" fillId="0" borderId="45" xfId="0" applyFont="1" applyBorder="1" applyAlignment="1">
      <alignment horizontal="center" vertical="center" wrapText="1"/>
    </xf>
    <xf numFmtId="0" fontId="211" fillId="105" borderId="196" xfId="0" applyFont="1" applyFill="1" applyBorder="1" applyAlignment="1">
      <alignment horizontal="left" vertical="center" wrapText="1"/>
    </xf>
    <xf numFmtId="0" fontId="211" fillId="105" borderId="197" xfId="0" applyFont="1" applyFill="1" applyBorder="1" applyAlignment="1">
      <alignment horizontal="center" vertical="center" wrapText="1"/>
    </xf>
    <xf numFmtId="0" fontId="212" fillId="59" borderId="198" xfId="0" applyFont="1" applyFill="1" applyBorder="1" applyAlignment="1">
      <alignment horizontal="left" vertical="center" wrapText="1"/>
    </xf>
    <xf numFmtId="0" fontId="212" fillId="59" borderId="199" xfId="0" applyFont="1" applyFill="1" applyBorder="1" applyAlignment="1">
      <alignment horizontal="center" vertical="center" wrapText="1"/>
    </xf>
    <xf numFmtId="0" fontId="212" fillId="59" borderId="200" xfId="0" applyFont="1" applyFill="1" applyBorder="1" applyAlignment="1">
      <alignment horizontal="center" vertical="center" wrapText="1"/>
    </xf>
    <xf numFmtId="0" fontId="212" fillId="106" borderId="198" xfId="0" applyFont="1" applyFill="1" applyBorder="1" applyAlignment="1">
      <alignment horizontal="left" vertical="center" wrapText="1"/>
    </xf>
    <xf numFmtId="0" fontId="212" fillId="106" borderId="200" xfId="0" applyFont="1" applyFill="1" applyBorder="1" applyAlignment="1">
      <alignment horizontal="center" vertical="center" wrapText="1"/>
    </xf>
    <xf numFmtId="0" fontId="126" fillId="70" borderId="85" xfId="0" applyFont="1" applyFill="1" applyBorder="1" applyAlignment="1">
      <alignment horizontal="center" vertical="center" wrapText="1"/>
    </xf>
    <xf numFmtId="0" fontId="126" fillId="70" borderId="89" xfId="0" applyFont="1" applyFill="1" applyBorder="1" applyAlignment="1">
      <alignment horizontal="center" vertical="center" wrapText="1"/>
    </xf>
    <xf numFmtId="0" fontId="0" fillId="70" borderId="89" xfId="0" applyFill="1" applyBorder="1" applyAlignment="1">
      <alignment vertical="center" wrapText="1"/>
    </xf>
    <xf numFmtId="0" fontId="0" fillId="70" borderId="93" xfId="0" applyFill="1" applyBorder="1" applyAlignment="1">
      <alignment vertical="center" wrapText="1"/>
    </xf>
    <xf numFmtId="0" fontId="126" fillId="70" borderId="93" xfId="0" applyFont="1" applyFill="1" applyBorder="1" applyAlignment="1">
      <alignment horizontal="center" vertical="center" wrapText="1"/>
    </xf>
    <xf numFmtId="0" fontId="123" fillId="3" borderId="94" xfId="0" applyFont="1" applyFill="1" applyBorder="1" applyAlignment="1">
      <alignment vertical="center" wrapText="1"/>
    </xf>
    <xf numFmtId="0" fontId="123" fillId="3" borderId="93" xfId="0" applyFont="1" applyFill="1" applyBorder="1" applyAlignment="1">
      <alignment horizontal="center" vertical="center" wrapText="1"/>
    </xf>
    <xf numFmtId="0" fontId="4" fillId="7" borderId="82" xfId="0" applyFont="1" applyFill="1" applyBorder="1" applyAlignment="1">
      <alignment horizontal="left"/>
    </xf>
    <xf numFmtId="0" fontId="8" fillId="7" borderId="1" xfId="0" applyFont="1" applyFill="1" applyBorder="1" applyAlignment="1">
      <alignment horizontal="center" vertical="center"/>
    </xf>
    <xf numFmtId="0" fontId="1" fillId="4" borderId="1" xfId="0" applyFont="1" applyFill="1" applyBorder="1" applyAlignment="1">
      <alignment horizontal="left"/>
    </xf>
    <xf numFmtId="0" fontId="1" fillId="0" borderId="1" xfId="0" applyFont="1" applyBorder="1" applyAlignment="1">
      <alignment wrapText="1"/>
    </xf>
    <xf numFmtId="11" fontId="8" fillId="0" borderId="1" xfId="0" applyNumberFormat="1" applyFont="1" applyBorder="1"/>
    <xf numFmtId="11" fontId="214" fillId="0" borderId="1" xfId="0" applyNumberFormat="1" applyFont="1" applyBorder="1"/>
    <xf numFmtId="165" fontId="8" fillId="0" borderId="0" xfId="3" applyFont="1" applyAlignment="1">
      <alignment horizontal="left" vertical="center" wrapText="1"/>
    </xf>
    <xf numFmtId="165" fontId="20" fillId="0" borderId="0" xfId="3" applyFont="1" applyAlignment="1">
      <alignment horizontal="left" vertical="center" wrapText="1"/>
    </xf>
    <xf numFmtId="165" fontId="95" fillId="0" borderId="0" xfId="3" applyFont="1" applyBorder="1" applyAlignment="1" applyProtection="1">
      <alignment horizontal="left"/>
    </xf>
    <xf numFmtId="165" fontId="1" fillId="0" borderId="0" xfId="3" applyFont="1" applyBorder="1" applyAlignment="1" applyProtection="1">
      <alignment horizontal="left"/>
    </xf>
    <xf numFmtId="165" fontId="98" fillId="0" borderId="0" xfId="3" applyFont="1" applyBorder="1" applyAlignment="1" applyProtection="1">
      <alignment horizontal="left"/>
    </xf>
    <xf numFmtId="165" fontId="95" fillId="0" borderId="0" xfId="3" applyFont="1" applyAlignment="1" applyProtection="1">
      <alignment horizontal="left"/>
    </xf>
    <xf numFmtId="165" fontId="1" fillId="5" borderId="0" xfId="3" applyFont="1" applyFill="1" applyAlignment="1">
      <alignment horizontal="left"/>
    </xf>
    <xf numFmtId="165" fontId="1" fillId="3" borderId="2" xfId="3" applyFont="1" applyFill="1" applyBorder="1" applyAlignment="1" applyProtection="1">
      <alignment horizontal="left"/>
    </xf>
    <xf numFmtId="165" fontId="1" fillId="3" borderId="97" xfId="3" applyFont="1" applyFill="1" applyBorder="1" applyAlignment="1" applyProtection="1">
      <alignment horizontal="left"/>
    </xf>
    <xf numFmtId="0" fontId="78" fillId="5" borderId="37" xfId="0" applyFont="1" applyFill="1" applyBorder="1" applyAlignment="1">
      <alignment vertical="center" wrapText="1"/>
    </xf>
    <xf numFmtId="0" fontId="78" fillId="5" borderId="34" xfId="0" applyFont="1" applyFill="1" applyBorder="1" applyAlignment="1">
      <alignment horizontal="center" vertical="center" wrapText="1"/>
    </xf>
    <xf numFmtId="0" fontId="0" fillId="5" borderId="36" xfId="0" applyFill="1" applyBorder="1" applyAlignment="1">
      <alignment vertical="center" wrapText="1"/>
    </xf>
    <xf numFmtId="0" fontId="0" fillId="5" borderId="37" xfId="0" applyFill="1" applyBorder="1" applyAlignment="1">
      <alignment vertical="center" wrapText="1"/>
    </xf>
    <xf numFmtId="0" fontId="78" fillId="5" borderId="36" xfId="0" applyFont="1" applyFill="1" applyBorder="1" applyAlignment="1">
      <alignment vertical="center" wrapText="1"/>
    </xf>
    <xf numFmtId="0" fontId="62" fillId="5" borderId="0" xfId="0" applyFont="1" applyFill="1" applyAlignment="1">
      <alignment horizontal="center" wrapText="1"/>
    </xf>
    <xf numFmtId="0" fontId="218" fillId="110" borderId="57" xfId="0" applyFont="1" applyFill="1" applyBorder="1" applyAlignment="1">
      <alignment horizontal="left" vertical="top"/>
    </xf>
    <xf numFmtId="0" fontId="219" fillId="112" borderId="57" xfId="0" applyFont="1" applyFill="1" applyBorder="1" applyAlignment="1">
      <alignment horizontal="left" vertical="top"/>
    </xf>
    <xf numFmtId="182" fontId="219" fillId="113" borderId="57" xfId="0" applyNumberFormat="1" applyFont="1" applyFill="1" applyBorder="1" applyAlignment="1">
      <alignment horizontal="right"/>
    </xf>
    <xf numFmtId="165" fontId="9" fillId="4" borderId="1" xfId="3" applyFont="1" applyFill="1" applyBorder="1" applyAlignment="1">
      <alignment horizontal="left" vertical="center" wrapText="1"/>
    </xf>
    <xf numFmtId="165" fontId="9" fillId="4" borderId="95" xfId="3" applyFont="1" applyFill="1" applyBorder="1" applyAlignment="1">
      <alignment horizontal="left" vertical="center" wrapText="1"/>
    </xf>
    <xf numFmtId="165" fontId="1" fillId="0" borderId="0" xfId="3" applyFont="1" applyAlignment="1">
      <alignment horizontal="left"/>
    </xf>
    <xf numFmtId="165" fontId="25" fillId="0" borderId="0" xfId="3" applyFont="1" applyAlignment="1">
      <alignment horizontal="left"/>
    </xf>
    <xf numFmtId="165" fontId="25" fillId="0" borderId="0" xfId="3" applyFont="1" applyAlignment="1">
      <alignment horizontal="left" vertical="center"/>
    </xf>
    <xf numFmtId="165" fontId="25" fillId="4" borderId="1" xfId="3" applyFont="1" applyFill="1" applyBorder="1" applyAlignment="1">
      <alignment horizontal="left" vertical="center" wrapText="1"/>
    </xf>
    <xf numFmtId="165" fontId="1" fillId="2" borderId="1" xfId="3" applyFont="1" applyFill="1" applyBorder="1" applyAlignment="1" applyProtection="1">
      <alignment horizontal="left" wrapText="1"/>
      <protection locked="0"/>
    </xf>
    <xf numFmtId="165" fontId="1" fillId="2" borderId="2" xfId="3" applyFont="1" applyFill="1" applyBorder="1" applyAlignment="1" applyProtection="1">
      <alignment horizontal="left" wrapText="1"/>
      <protection locked="0"/>
    </xf>
    <xf numFmtId="165" fontId="8" fillId="3" borderId="1" xfId="3" applyFont="1" applyFill="1" applyBorder="1" applyAlignment="1">
      <alignment horizontal="left" vertical="center"/>
    </xf>
    <xf numFmtId="165" fontId="8" fillId="3" borderId="96" xfId="3" applyFont="1" applyFill="1" applyBorder="1" applyAlignment="1">
      <alignment horizontal="left" vertical="center"/>
    </xf>
    <xf numFmtId="165" fontId="23" fillId="7" borderId="54" xfId="3" applyFont="1" applyFill="1" applyBorder="1" applyAlignment="1">
      <alignment horizontal="left" vertical="center" wrapText="1"/>
    </xf>
    <xf numFmtId="165" fontId="1" fillId="3" borderId="56" xfId="3" applyFont="1" applyFill="1" applyBorder="1" applyAlignment="1">
      <alignment horizontal="left" vertical="center" wrapText="1"/>
    </xf>
    <xf numFmtId="174" fontId="13" fillId="2" borderId="1" xfId="6" applyNumberFormat="1" applyFont="1" applyFill="1" applyBorder="1" applyAlignment="1">
      <alignment horizontal="center"/>
    </xf>
    <xf numFmtId="165" fontId="1" fillId="4" borderId="1" xfId="3" applyFont="1" applyFill="1" applyBorder="1" applyAlignment="1">
      <alignment horizontal="left" vertical="center" wrapText="1"/>
    </xf>
    <xf numFmtId="165" fontId="23" fillId="70" borderId="4" xfId="3" applyFont="1" applyFill="1" applyBorder="1" applyAlignment="1">
      <alignment horizontal="left" vertical="center" wrapText="1"/>
    </xf>
    <xf numFmtId="165" fontId="70" fillId="0" borderId="0" xfId="3" applyFont="1" applyAlignment="1">
      <alignment horizontal="left" vertical="center"/>
    </xf>
    <xf numFmtId="165" fontId="25" fillId="70" borderId="2" xfId="3" applyFont="1" applyFill="1" applyBorder="1" applyAlignment="1">
      <alignment horizontal="left" vertical="center" wrapText="1"/>
    </xf>
    <xf numFmtId="165" fontId="111" fillId="0" borderId="0" xfId="3" applyFont="1" applyAlignment="1">
      <alignment horizontal="left" wrapText="1"/>
    </xf>
    <xf numFmtId="165" fontId="8" fillId="0" borderId="0" xfId="3" applyFont="1" applyAlignment="1">
      <alignment horizontal="left" vertical="center"/>
    </xf>
    <xf numFmtId="165" fontId="1" fillId="0" borderId="0" xfId="3" applyFont="1" applyAlignment="1">
      <alignment horizontal="left" vertical="center"/>
    </xf>
    <xf numFmtId="165" fontId="23" fillId="0" borderId="0" xfId="3" applyFont="1" applyAlignment="1">
      <alignment horizontal="left" vertical="center" wrapText="1"/>
    </xf>
    <xf numFmtId="165" fontId="1" fillId="4" borderId="1" xfId="3" applyFont="1" applyFill="1" applyBorder="1" applyAlignment="1">
      <alignment horizontal="left"/>
    </xf>
    <xf numFmtId="165" fontId="28" fillId="0" borderId="0" xfId="3" applyFont="1" applyAlignment="1">
      <alignment horizontal="left" vertical="center" wrapText="1"/>
    </xf>
    <xf numFmtId="165" fontId="30" fillId="4" borderId="1" xfId="3" applyFont="1" applyFill="1" applyBorder="1" applyAlignment="1">
      <alignment horizontal="left" vertical="top" wrapText="1"/>
    </xf>
    <xf numFmtId="165" fontId="93" fillId="0" borderId="0" xfId="3" applyFont="1" applyAlignment="1">
      <alignment horizontal="left" vertical="top" wrapText="1"/>
    </xf>
    <xf numFmtId="165" fontId="102" fillId="16" borderId="1" xfId="3" applyFont="1" applyFill="1" applyBorder="1" applyAlignment="1">
      <alignment horizontal="left" vertical="center"/>
    </xf>
    <xf numFmtId="165" fontId="102" fillId="16" borderId="5" xfId="3" applyFont="1" applyFill="1" applyBorder="1" applyAlignment="1">
      <alignment horizontal="left" vertical="center"/>
    </xf>
    <xf numFmtId="165" fontId="23" fillId="70" borderId="3" xfId="3" applyFont="1" applyFill="1" applyBorder="1" applyAlignment="1" applyProtection="1">
      <alignment horizontal="left" vertical="center" wrapText="1"/>
    </xf>
    <xf numFmtId="165" fontId="95" fillId="0" borderId="0" xfId="3" applyFont="1" applyAlignment="1">
      <alignment horizontal="left" vertical="center"/>
    </xf>
    <xf numFmtId="165" fontId="175" fillId="0" borderId="0" xfId="3" applyFont="1" applyAlignment="1">
      <alignment horizontal="left" vertical="center" wrapText="1"/>
    </xf>
    <xf numFmtId="165" fontId="118" fillId="12" borderId="0" xfId="3" applyFont="1" applyFill="1" applyAlignment="1">
      <alignment horizontal="left"/>
    </xf>
    <xf numFmtId="165" fontId="122" fillId="12" borderId="0" xfId="3" applyFont="1" applyFill="1" applyAlignment="1">
      <alignment horizontal="left"/>
    </xf>
    <xf numFmtId="165" fontId="20" fillId="0" borderId="0" xfId="3" applyFont="1" applyAlignment="1">
      <alignment horizontal="left"/>
    </xf>
    <xf numFmtId="165" fontId="102" fillId="16" borderId="2" xfId="3" applyFont="1" applyFill="1" applyBorder="1" applyAlignment="1">
      <alignment horizontal="left" vertical="center"/>
    </xf>
    <xf numFmtId="165" fontId="102" fillId="16" borderId="3" xfId="3" applyFont="1" applyFill="1" applyBorder="1" applyAlignment="1">
      <alignment horizontal="left" vertical="center"/>
    </xf>
    <xf numFmtId="165" fontId="102" fillId="16" borderId="6" xfId="3" applyFont="1" applyFill="1" applyBorder="1" applyAlignment="1" applyProtection="1">
      <alignment horizontal="left" vertical="center"/>
      <protection locked="0"/>
    </xf>
    <xf numFmtId="165" fontId="95" fillId="0" borderId="0" xfId="3" applyFont="1" applyAlignment="1">
      <alignment horizontal="left" vertical="center" wrapText="1"/>
    </xf>
    <xf numFmtId="0" fontId="46" fillId="15" borderId="2" xfId="0" applyFont="1" applyFill="1" applyBorder="1" applyAlignment="1">
      <alignment horizontal="center"/>
    </xf>
    <xf numFmtId="165" fontId="9" fillId="4" borderId="21" xfId="3" applyFont="1" applyFill="1" applyBorder="1" applyAlignment="1">
      <alignment horizontal="left" vertical="center" wrapText="1"/>
    </xf>
    <xf numFmtId="165" fontId="23" fillId="0" borderId="0" xfId="3" applyFont="1" applyAlignment="1">
      <alignment horizontal="left" vertical="center"/>
    </xf>
    <xf numFmtId="165" fontId="93" fillId="0" borderId="0" xfId="3" applyFont="1" applyAlignment="1">
      <alignment horizontal="left"/>
    </xf>
    <xf numFmtId="165" fontId="23" fillId="0" borderId="8" xfId="3" applyFont="1" applyBorder="1" applyAlignment="1">
      <alignment horizontal="left" vertical="center" wrapText="1"/>
    </xf>
    <xf numFmtId="165" fontId="23" fillId="2" borderId="7" xfId="3" applyFont="1" applyFill="1" applyBorder="1" applyAlignment="1">
      <alignment horizontal="left" vertical="center" wrapText="1"/>
    </xf>
    <xf numFmtId="165" fontId="23" fillId="0" borderId="10" xfId="3" applyFont="1" applyBorder="1" applyAlignment="1">
      <alignment horizontal="left" vertical="center" wrapText="1"/>
    </xf>
    <xf numFmtId="165" fontId="8" fillId="3" borderId="7" xfId="3" applyFont="1" applyFill="1" applyBorder="1" applyAlignment="1">
      <alignment horizontal="left" vertical="center" wrapText="1"/>
    </xf>
    <xf numFmtId="165" fontId="8" fillId="4" borderId="7" xfId="3" applyFont="1" applyFill="1" applyBorder="1" applyAlignment="1">
      <alignment horizontal="left" vertical="center" wrapText="1"/>
    </xf>
    <xf numFmtId="165" fontId="8" fillId="5" borderId="0" xfId="3" applyFont="1" applyFill="1" applyAlignment="1">
      <alignment horizontal="left" vertical="center"/>
    </xf>
    <xf numFmtId="165" fontId="1" fillId="3" borderId="1" xfId="3" applyFont="1" applyFill="1" applyBorder="1" applyAlignment="1">
      <alignment horizontal="left" vertical="center"/>
    </xf>
    <xf numFmtId="165" fontId="100" fillId="0" borderId="0" xfId="3" applyFont="1" applyAlignment="1">
      <alignment horizontal="left"/>
    </xf>
    <xf numFmtId="165" fontId="103" fillId="0" borderId="0" xfId="3" applyFont="1" applyFill="1" applyBorder="1" applyAlignment="1" applyProtection="1">
      <alignment horizontal="left" vertical="center"/>
    </xf>
    <xf numFmtId="165" fontId="84" fillId="0" borderId="0" xfId="3" applyFont="1" applyAlignment="1">
      <alignment horizontal="left" vertical="center" wrapText="1"/>
    </xf>
    <xf numFmtId="165" fontId="98" fillId="0" borderId="0" xfId="3" applyFont="1" applyAlignment="1">
      <alignment horizontal="left"/>
    </xf>
    <xf numFmtId="165" fontId="30" fillId="0" borderId="0" xfId="3" applyFont="1" applyAlignment="1">
      <alignment horizontal="left"/>
    </xf>
    <xf numFmtId="165" fontId="9" fillId="4" borderId="82" xfId="3" applyFont="1" applyFill="1" applyBorder="1" applyAlignment="1">
      <alignment horizontal="left" vertical="center" wrapText="1"/>
    </xf>
    <xf numFmtId="165" fontId="9" fillId="4" borderId="83" xfId="3" applyFont="1" applyFill="1" applyBorder="1" applyAlignment="1">
      <alignment horizontal="left" vertical="center" wrapText="1"/>
    </xf>
    <xf numFmtId="165" fontId="28" fillId="4" borderId="5" xfId="3" applyFont="1" applyFill="1" applyBorder="1" applyAlignment="1">
      <alignment horizontal="left" vertical="center" wrapText="1"/>
    </xf>
    <xf numFmtId="165" fontId="8" fillId="4" borderId="1" xfId="3" applyFont="1" applyFill="1" applyBorder="1" applyAlignment="1">
      <alignment horizontal="left" vertical="center" wrapText="1"/>
    </xf>
    <xf numFmtId="165" fontId="8" fillId="4" borderId="39" xfId="3" applyFont="1" applyFill="1" applyBorder="1" applyAlignment="1">
      <alignment horizontal="left" vertical="center" wrapText="1"/>
    </xf>
    <xf numFmtId="165" fontId="8" fillId="4" borderId="41" xfId="3" applyFont="1" applyFill="1" applyBorder="1" applyAlignment="1">
      <alignment horizontal="left" vertical="center" wrapText="1"/>
    </xf>
    <xf numFmtId="165" fontId="24" fillId="2" borderId="1" xfId="3" applyFont="1" applyFill="1" applyBorder="1" applyAlignment="1" applyProtection="1">
      <alignment horizontal="left" vertical="center" wrapText="1"/>
      <protection locked="0"/>
    </xf>
    <xf numFmtId="165" fontId="23" fillId="57" borderId="1" xfId="3" applyFont="1" applyFill="1" applyBorder="1" applyAlignment="1" applyProtection="1">
      <alignment horizontal="left" vertical="center" wrapText="1"/>
      <protection locked="0"/>
    </xf>
    <xf numFmtId="165" fontId="23" fillId="3" borderId="1" xfId="3" applyFont="1" applyFill="1" applyBorder="1" applyAlignment="1">
      <alignment horizontal="left" vertical="center" wrapText="1"/>
    </xf>
    <xf numFmtId="165" fontId="23" fillId="3" borderId="39" xfId="3" applyFont="1" applyFill="1" applyBorder="1" applyAlignment="1">
      <alignment horizontal="left" vertical="center" wrapText="1"/>
    </xf>
    <xf numFmtId="165" fontId="8" fillId="3" borderId="41" xfId="3" applyFont="1" applyFill="1" applyBorder="1" applyAlignment="1">
      <alignment horizontal="left" vertical="center"/>
    </xf>
    <xf numFmtId="165" fontId="23" fillId="3" borderId="99" xfId="3" applyFont="1" applyFill="1" applyBorder="1" applyAlignment="1">
      <alignment horizontal="left" vertical="center" wrapText="1"/>
    </xf>
    <xf numFmtId="165" fontId="8" fillId="3" borderId="100" xfId="3" applyFont="1" applyFill="1" applyBorder="1" applyAlignment="1">
      <alignment horizontal="left" vertical="center"/>
    </xf>
    <xf numFmtId="165" fontId="104" fillId="9" borderId="1" xfId="3" applyFont="1" applyFill="1" applyBorder="1" applyAlignment="1" applyProtection="1">
      <alignment horizontal="left" vertical="center" wrapText="1"/>
    </xf>
    <xf numFmtId="165" fontId="101" fillId="0" borderId="0" xfId="3" applyFont="1" applyAlignment="1">
      <alignment horizontal="left" vertical="center" wrapText="1"/>
    </xf>
    <xf numFmtId="165" fontId="23" fillId="3" borderId="54" xfId="3" applyFont="1" applyFill="1" applyBorder="1" applyAlignment="1">
      <alignment horizontal="left" vertical="center" wrapText="1"/>
    </xf>
    <xf numFmtId="165" fontId="23" fillId="3" borderId="55" xfId="3" applyFont="1" applyFill="1" applyBorder="1" applyAlignment="1">
      <alignment horizontal="left" vertical="center" wrapText="1"/>
    </xf>
    <xf numFmtId="165" fontId="23" fillId="3" borderId="56" xfId="3" applyFont="1" applyFill="1" applyBorder="1" applyAlignment="1">
      <alignment horizontal="left" vertical="center" wrapText="1"/>
    </xf>
    <xf numFmtId="165" fontId="121" fillId="2" borderId="1" xfId="3" applyFont="1" applyFill="1" applyBorder="1" applyAlignment="1" applyProtection="1">
      <alignment horizontal="left" vertical="center" wrapText="1"/>
      <protection locked="0"/>
    </xf>
    <xf numFmtId="165" fontId="25" fillId="3" borderId="1" xfId="3" applyFont="1" applyFill="1" applyBorder="1" applyAlignment="1">
      <alignment horizontal="left" vertical="center" wrapText="1"/>
    </xf>
    <xf numFmtId="165" fontId="0" fillId="0" borderId="0" xfId="3" applyFont="1" applyAlignment="1">
      <alignment horizontal="left"/>
    </xf>
    <xf numFmtId="165" fontId="101" fillId="0" borderId="0" xfId="3" applyFont="1" applyAlignment="1">
      <alignment horizontal="left" vertical="center"/>
    </xf>
    <xf numFmtId="165" fontId="20" fillId="0" borderId="0" xfId="3" applyFont="1" applyAlignment="1">
      <alignment horizontal="left" vertical="center"/>
    </xf>
    <xf numFmtId="165" fontId="25" fillId="2" borderId="1" xfId="3" applyFont="1" applyFill="1" applyBorder="1" applyAlignment="1" applyProtection="1">
      <alignment horizontal="left" vertical="center" wrapText="1"/>
      <protection locked="0"/>
    </xf>
    <xf numFmtId="165" fontId="95" fillId="0" borderId="0" xfId="3" applyFont="1" applyAlignment="1">
      <alignment horizontal="left"/>
    </xf>
    <xf numFmtId="165" fontId="25" fillId="57" borderId="1" xfId="3" applyFont="1" applyFill="1" applyBorder="1" applyAlignment="1" applyProtection="1">
      <alignment horizontal="left" vertical="center" wrapText="1"/>
      <protection locked="0"/>
    </xf>
    <xf numFmtId="165" fontId="23" fillId="3" borderId="53" xfId="3" applyFont="1" applyFill="1" applyBorder="1" applyAlignment="1">
      <alignment horizontal="left" vertical="center" wrapText="1"/>
    </xf>
    <xf numFmtId="165" fontId="22" fillId="0" borderId="0" xfId="3" applyFont="1" applyAlignment="1">
      <alignment horizontal="left"/>
    </xf>
    <xf numFmtId="165" fontId="8" fillId="4" borderId="1" xfId="3" applyFont="1" applyFill="1" applyBorder="1" applyAlignment="1">
      <alignment horizontal="left" vertical="center"/>
    </xf>
    <xf numFmtId="165" fontId="77" fillId="67" borderId="1" xfId="3" applyFont="1" applyFill="1" applyBorder="1" applyAlignment="1" applyProtection="1">
      <alignment horizontal="left" vertical="center" wrapText="1"/>
      <protection locked="0"/>
    </xf>
    <xf numFmtId="165" fontId="50" fillId="14" borderId="2" xfId="3" applyFont="1" applyFill="1" applyBorder="1" applyAlignment="1">
      <alignment horizontal="left" vertical="center" wrapText="1"/>
    </xf>
    <xf numFmtId="165" fontId="94" fillId="14" borderId="3" xfId="3" applyFont="1" applyFill="1" applyBorder="1" applyAlignment="1" applyProtection="1">
      <alignment horizontal="left" vertical="center"/>
      <protection locked="0"/>
    </xf>
    <xf numFmtId="165" fontId="28" fillId="4" borderId="82" xfId="3" applyFont="1" applyFill="1" applyBorder="1" applyAlignment="1">
      <alignment horizontal="left" vertical="center" wrapText="1"/>
    </xf>
    <xf numFmtId="165" fontId="28" fillId="4" borderId="83" xfId="3" applyFont="1" applyFill="1" applyBorder="1" applyAlignment="1">
      <alignment horizontal="left" vertical="center" wrapText="1"/>
    </xf>
    <xf numFmtId="165" fontId="28" fillId="4" borderId="6" xfId="3" applyFont="1" applyFill="1" applyBorder="1" applyAlignment="1">
      <alignment horizontal="left" vertical="center" wrapText="1"/>
    </xf>
    <xf numFmtId="165" fontId="28" fillId="4" borderId="99" xfId="3" applyFont="1" applyFill="1" applyBorder="1" applyAlignment="1">
      <alignment horizontal="left" vertical="center" wrapText="1"/>
    </xf>
    <xf numFmtId="165" fontId="28" fillId="4" borderId="100" xfId="3" applyFont="1" applyFill="1" applyBorder="1" applyAlignment="1">
      <alignment horizontal="left" vertical="center" wrapText="1"/>
    </xf>
    <xf numFmtId="165" fontId="23" fillId="2" borderId="1" xfId="3" applyFont="1" applyFill="1" applyBorder="1" applyAlignment="1" applyProtection="1">
      <alignment horizontal="left" vertical="center" wrapText="1"/>
      <protection locked="0"/>
    </xf>
    <xf numFmtId="165" fontId="23" fillId="70" borderId="2" xfId="3" applyFont="1" applyFill="1" applyBorder="1" applyAlignment="1">
      <alignment horizontal="left" vertical="center" wrapText="1"/>
    </xf>
    <xf numFmtId="165" fontId="8" fillId="3" borderId="39" xfId="3" applyFont="1" applyFill="1" applyBorder="1" applyAlignment="1">
      <alignment horizontal="left" vertical="center"/>
    </xf>
    <xf numFmtId="165" fontId="23" fillId="2" borderId="5" xfId="3" applyFont="1" applyFill="1" applyBorder="1" applyAlignment="1" applyProtection="1">
      <alignment horizontal="left" vertical="center" wrapText="1"/>
      <protection locked="0"/>
    </xf>
    <xf numFmtId="165" fontId="8" fillId="3" borderId="99" xfId="3" applyFont="1" applyFill="1" applyBorder="1" applyAlignment="1">
      <alignment horizontal="left" vertical="center"/>
    </xf>
    <xf numFmtId="165" fontId="8" fillId="3" borderId="56" xfId="3" applyFont="1" applyFill="1" applyBorder="1" applyAlignment="1">
      <alignment horizontal="left" vertical="center"/>
    </xf>
    <xf numFmtId="165" fontId="117" fillId="0" borderId="0" xfId="3" applyFont="1" applyAlignment="1">
      <alignment horizontal="left"/>
    </xf>
    <xf numFmtId="169" fontId="220" fillId="108" borderId="57" xfId="0" applyNumberFormat="1" applyFont="1" applyFill="1" applyBorder="1" applyAlignment="1">
      <alignment horizontal="center" vertical="center" wrapText="1"/>
    </xf>
    <xf numFmtId="4" fontId="221" fillId="114" borderId="57" xfId="0" applyNumberFormat="1" applyFont="1" applyFill="1" applyBorder="1" applyAlignment="1">
      <alignment horizontal="center" vertical="center" wrapText="1"/>
    </xf>
    <xf numFmtId="3" fontId="216" fillId="108" borderId="57" xfId="0" applyNumberFormat="1" applyFont="1" applyFill="1" applyBorder="1" applyAlignment="1">
      <alignment horizontal="center" vertical="center" wrapText="1"/>
    </xf>
    <xf numFmtId="165" fontId="1" fillId="4" borderId="43" xfId="3" applyFont="1" applyFill="1" applyBorder="1" applyAlignment="1">
      <alignment horizontal="left" vertical="center" wrapText="1"/>
    </xf>
    <xf numFmtId="165" fontId="1" fillId="4" borderId="5" xfId="3" applyFont="1" applyFill="1" applyBorder="1" applyAlignment="1">
      <alignment horizontal="left" vertical="center" wrapText="1"/>
    </xf>
    <xf numFmtId="165" fontId="1" fillId="4" borderId="54" xfId="3" applyFont="1" applyFill="1" applyBorder="1" applyAlignment="1">
      <alignment horizontal="left" vertical="center" wrapText="1"/>
    </xf>
    <xf numFmtId="165" fontId="8" fillId="3" borderId="55" xfId="3" applyFont="1" applyFill="1" applyBorder="1" applyAlignment="1">
      <alignment horizontal="left" vertical="center"/>
    </xf>
    <xf numFmtId="165" fontId="8" fillId="4" borderId="2" xfId="3" applyFont="1" applyFill="1" applyBorder="1" applyAlignment="1">
      <alignment horizontal="left" vertical="center" wrapText="1"/>
    </xf>
    <xf numFmtId="165" fontId="25" fillId="0" borderId="0" xfId="3" applyFont="1" applyAlignment="1">
      <alignment horizontal="left" vertical="center" wrapText="1"/>
    </xf>
    <xf numFmtId="165" fontId="23" fillId="4" borderId="5" xfId="3" applyFont="1" applyFill="1" applyBorder="1" applyAlignment="1">
      <alignment horizontal="left" vertical="center" wrapText="1"/>
    </xf>
    <xf numFmtId="165" fontId="1" fillId="4" borderId="39" xfId="3" applyFont="1" applyFill="1" applyBorder="1" applyAlignment="1">
      <alignment horizontal="left" vertical="center" wrapText="1"/>
    </xf>
    <xf numFmtId="165" fontId="1" fillId="4" borderId="41" xfId="3" applyFont="1" applyFill="1" applyBorder="1" applyAlignment="1">
      <alignment horizontal="left" vertical="center" wrapText="1"/>
    </xf>
    <xf numFmtId="165" fontId="25" fillId="3" borderId="39" xfId="3" applyFont="1" applyFill="1" applyBorder="1" applyAlignment="1">
      <alignment horizontal="left" vertical="center" wrapText="1"/>
    </xf>
    <xf numFmtId="165" fontId="23" fillId="3" borderId="41" xfId="3" applyFont="1" applyFill="1" applyBorder="1" applyAlignment="1">
      <alignment horizontal="left" vertical="center" wrapText="1"/>
    </xf>
    <xf numFmtId="165" fontId="25" fillId="3" borderId="53" xfId="3" applyFont="1" applyFill="1" applyBorder="1" applyAlignment="1">
      <alignment horizontal="left" vertical="center" wrapText="1"/>
    </xf>
    <xf numFmtId="165" fontId="25" fillId="3" borderId="43" xfId="3" applyFont="1" applyFill="1" applyBorder="1" applyAlignment="1">
      <alignment horizontal="left" vertical="center" wrapText="1"/>
    </xf>
    <xf numFmtId="165" fontId="23" fillId="3" borderId="44" xfId="3" applyFont="1" applyFill="1" applyBorder="1" applyAlignment="1">
      <alignment horizontal="left" vertical="center" wrapText="1"/>
    </xf>
    <xf numFmtId="165" fontId="172" fillId="0" borderId="0" xfId="3" applyFont="1" applyAlignment="1">
      <alignment horizontal="left" vertical="center" wrapText="1"/>
    </xf>
    <xf numFmtId="165" fontId="1" fillId="2" borderId="2" xfId="3" applyFont="1" applyFill="1" applyBorder="1" applyAlignment="1" applyProtection="1">
      <protection locked="0"/>
    </xf>
    <xf numFmtId="165" fontId="28" fillId="4" borderId="1" xfId="3" applyFont="1" applyFill="1" applyBorder="1" applyAlignment="1">
      <alignment horizontal="left" vertical="center" wrapText="1"/>
    </xf>
    <xf numFmtId="165" fontId="1" fillId="0" borderId="0" xfId="3" applyFont="1" applyAlignment="1">
      <alignment horizontal="left" vertical="center" wrapText="1"/>
    </xf>
    <xf numFmtId="165" fontId="121" fillId="2" borderId="2" xfId="3" applyFont="1" applyFill="1" applyBorder="1" applyAlignment="1" applyProtection="1">
      <alignment horizontal="left" vertical="center" wrapText="1"/>
      <protection locked="0"/>
    </xf>
    <xf numFmtId="165" fontId="1" fillId="3" borderId="39" xfId="3" applyFont="1" applyFill="1" applyBorder="1" applyAlignment="1">
      <alignment horizontal="left" vertical="center"/>
    </xf>
    <xf numFmtId="165" fontId="1" fillId="3" borderId="41" xfId="3" applyFont="1" applyFill="1" applyBorder="1" applyAlignment="1">
      <alignment horizontal="left" vertical="center"/>
    </xf>
    <xf numFmtId="165" fontId="1" fillId="3" borderId="99" xfId="3" applyFont="1" applyFill="1" applyBorder="1" applyAlignment="1">
      <alignment horizontal="left" vertical="center"/>
    </xf>
    <xf numFmtId="165" fontId="1" fillId="3" borderId="100" xfId="3" applyFont="1" applyFill="1" applyBorder="1" applyAlignment="1">
      <alignment horizontal="left" vertical="center"/>
    </xf>
    <xf numFmtId="165" fontId="23" fillId="3" borderId="1" xfId="3" applyFont="1" applyFill="1" applyBorder="1" applyAlignment="1" applyProtection="1">
      <alignment horizontal="left" vertical="center" wrapText="1"/>
    </xf>
    <xf numFmtId="165" fontId="8" fillId="3" borderId="8" xfId="3" applyFont="1" applyFill="1" applyBorder="1" applyAlignment="1">
      <alignment horizontal="left" vertical="center" wrapText="1"/>
    </xf>
    <xf numFmtId="165" fontId="8" fillId="3" borderId="56" xfId="3" applyFont="1" applyFill="1" applyBorder="1" applyAlignment="1">
      <alignment horizontal="left" vertical="center" wrapText="1"/>
    </xf>
    <xf numFmtId="165" fontId="25" fillId="4" borderId="5" xfId="3" applyFont="1" applyFill="1" applyBorder="1" applyAlignment="1">
      <alignment horizontal="left" vertical="center" wrapText="1"/>
    </xf>
    <xf numFmtId="165" fontId="23" fillId="8" borderId="1" xfId="3" applyFont="1" applyFill="1" applyBorder="1" applyAlignment="1" applyProtection="1">
      <alignment horizontal="left" vertical="center"/>
    </xf>
    <xf numFmtId="165" fontId="23" fillId="4" borderId="35" xfId="3" applyFont="1" applyFill="1" applyBorder="1" applyAlignment="1">
      <alignment horizontal="left" vertical="center" wrapText="1"/>
    </xf>
    <xf numFmtId="165" fontId="118" fillId="107" borderId="1" xfId="3" applyFont="1" applyFill="1" applyBorder="1" applyAlignment="1" applyProtection="1">
      <alignment horizontal="left"/>
      <protection locked="0"/>
    </xf>
    <xf numFmtId="165" fontId="25" fillId="3" borderId="96" xfId="3" applyFont="1" applyFill="1" applyBorder="1" applyAlignment="1">
      <alignment horizontal="left" vertical="center" wrapText="1"/>
    </xf>
    <xf numFmtId="165" fontId="8" fillId="3" borderId="21" xfId="3" applyFont="1" applyFill="1" applyBorder="1" applyAlignment="1">
      <alignment horizontal="left" vertical="center" wrapText="1"/>
    </xf>
    <xf numFmtId="165" fontId="8" fillId="3" borderId="45" xfId="3" applyFont="1" applyFill="1" applyBorder="1" applyAlignment="1">
      <alignment horizontal="left" vertical="center" wrapText="1"/>
    </xf>
    <xf numFmtId="165" fontId="9" fillId="4" borderId="14" xfId="3" applyFont="1" applyFill="1" applyBorder="1" applyAlignment="1">
      <alignment horizontal="left" vertical="center" wrapText="1"/>
    </xf>
    <xf numFmtId="165" fontId="175" fillId="0" borderId="0" xfId="3" applyFont="1" applyAlignment="1">
      <alignment horizontal="left"/>
    </xf>
    <xf numFmtId="165" fontId="14" fillId="4" borderId="1" xfId="3" applyFont="1" applyFill="1" applyBorder="1" applyAlignment="1">
      <alignment horizontal="left" vertical="center" wrapText="1"/>
    </xf>
    <xf numFmtId="165" fontId="6" fillId="4" borderId="1" xfId="3" applyFont="1" applyFill="1" applyBorder="1" applyAlignment="1">
      <alignment horizontal="left" vertical="center" wrapText="1"/>
    </xf>
    <xf numFmtId="165" fontId="6" fillId="4" borderId="2" xfId="3" applyFont="1" applyFill="1" applyBorder="1" applyAlignment="1">
      <alignment horizontal="left" vertical="center" wrapText="1"/>
    </xf>
    <xf numFmtId="165" fontId="6" fillId="4" borderId="95" xfId="3" applyFont="1" applyFill="1" applyBorder="1" applyAlignment="1">
      <alignment horizontal="left" vertical="center" wrapText="1"/>
    </xf>
    <xf numFmtId="165" fontId="0" fillId="0" borderId="0" xfId="3" applyFont="1" applyAlignment="1">
      <alignment horizontal="left" wrapText="1"/>
    </xf>
    <xf numFmtId="165" fontId="16" fillId="0" borderId="0" xfId="3" applyFont="1" applyAlignment="1">
      <alignment horizontal="left" wrapText="1"/>
    </xf>
    <xf numFmtId="165" fontId="78" fillId="67" borderId="2" xfId="3" applyFont="1" applyFill="1" applyBorder="1" applyAlignment="1" applyProtection="1">
      <alignment horizontal="left" vertical="center"/>
      <protection locked="0"/>
    </xf>
    <xf numFmtId="165" fontId="0" fillId="3" borderId="1" xfId="3" applyFont="1" applyFill="1" applyBorder="1" applyAlignment="1">
      <alignment horizontal="left" vertical="center"/>
    </xf>
    <xf numFmtId="165" fontId="10" fillId="0" borderId="0" xfId="3" applyFont="1" applyAlignment="1">
      <alignment horizontal="left"/>
    </xf>
    <xf numFmtId="165" fontId="78" fillId="67" borderId="2" xfId="3" applyFont="1" applyFill="1" applyBorder="1" applyAlignment="1" applyProtection="1">
      <alignment horizontal="left"/>
      <protection locked="0"/>
    </xf>
    <xf numFmtId="165" fontId="78" fillId="67" borderId="2" xfId="3" applyFont="1" applyFill="1" applyBorder="1" applyAlignment="1" applyProtection="1">
      <alignment horizontal="left" wrapText="1"/>
      <protection locked="0"/>
    </xf>
    <xf numFmtId="165" fontId="78" fillId="67" borderId="1" xfId="3" applyFont="1" applyFill="1" applyBorder="1" applyAlignment="1" applyProtection="1">
      <alignment horizontal="left"/>
      <protection locked="0"/>
    </xf>
    <xf numFmtId="165" fontId="17" fillId="0" borderId="0" xfId="3" applyFont="1" applyAlignment="1">
      <alignment horizontal="left"/>
    </xf>
    <xf numFmtId="165" fontId="84" fillId="5" borderId="0" xfId="3" applyFont="1" applyFill="1" applyAlignment="1">
      <alignment horizontal="left"/>
    </xf>
    <xf numFmtId="165" fontId="9" fillId="4" borderId="2" xfId="3" applyFont="1" applyFill="1" applyBorder="1" applyAlignment="1">
      <alignment horizontal="left" vertical="center" wrapText="1"/>
    </xf>
    <xf numFmtId="165" fontId="9" fillId="4" borderId="77" xfId="3" applyFont="1" applyFill="1" applyBorder="1" applyAlignment="1">
      <alignment horizontal="left" vertical="center" wrapText="1"/>
    </xf>
    <xf numFmtId="165" fontId="9" fillId="4" borderId="4" xfId="3" applyFont="1" applyFill="1" applyBorder="1" applyAlignment="1">
      <alignment horizontal="left" vertical="center" wrapText="1"/>
    </xf>
    <xf numFmtId="165" fontId="9" fillId="4" borderId="78" xfId="3" applyFont="1" applyFill="1" applyBorder="1" applyAlignment="1">
      <alignment horizontal="left" vertical="center" wrapText="1"/>
    </xf>
    <xf numFmtId="165" fontId="9" fillId="4" borderId="39" xfId="3" applyFont="1" applyFill="1" applyBorder="1" applyAlignment="1">
      <alignment horizontal="left" vertical="center" wrapText="1"/>
    </xf>
    <xf numFmtId="165" fontId="9" fillId="4" borderId="3" xfId="3" applyFont="1" applyFill="1" applyBorder="1" applyAlignment="1">
      <alignment horizontal="left" vertical="center" wrapText="1"/>
    </xf>
    <xf numFmtId="165" fontId="9" fillId="4" borderId="41" xfId="3" applyFont="1" applyFill="1" applyBorder="1" applyAlignment="1">
      <alignment horizontal="left" vertical="center" wrapText="1"/>
    </xf>
    <xf numFmtId="165" fontId="6" fillId="2" borderId="2" xfId="3" applyFont="1" applyFill="1" applyBorder="1" applyAlignment="1" applyProtection="1">
      <alignment horizontal="left" vertical="center" wrapText="1"/>
      <protection locked="0"/>
    </xf>
    <xf numFmtId="165" fontId="0" fillId="2" borderId="77" xfId="3" applyFont="1" applyFill="1" applyBorder="1" applyAlignment="1" applyProtection="1">
      <alignment horizontal="left" vertical="center" wrapText="1"/>
      <protection locked="0"/>
    </xf>
    <xf numFmtId="165" fontId="0" fillId="3" borderId="1" xfId="3" applyFont="1" applyFill="1" applyBorder="1" applyAlignment="1">
      <alignment horizontal="left" vertical="center" wrapText="1"/>
    </xf>
    <xf numFmtId="165" fontId="16" fillId="3" borderId="41" xfId="3" applyFont="1" applyFill="1" applyBorder="1" applyAlignment="1">
      <alignment horizontal="left" vertical="center" wrapText="1"/>
    </xf>
    <xf numFmtId="165" fontId="0" fillId="3" borderId="41" xfId="3" applyFont="1" applyFill="1" applyBorder="1" applyAlignment="1">
      <alignment horizontal="left" vertical="center" wrapText="1"/>
    </xf>
    <xf numFmtId="165" fontId="0" fillId="3" borderId="2" xfId="3" applyFont="1" applyFill="1" applyBorder="1" applyAlignment="1">
      <alignment horizontal="left" vertical="center" wrapText="1"/>
    </xf>
    <xf numFmtId="165" fontId="0" fillId="2" borderId="39" xfId="3" applyFont="1" applyFill="1" applyBorder="1" applyAlignment="1" applyProtection="1">
      <alignment horizontal="left" vertical="center" wrapText="1"/>
      <protection locked="0"/>
    </xf>
    <xf numFmtId="165" fontId="0" fillId="2" borderId="81" xfId="3" applyFont="1" applyFill="1" applyBorder="1" applyAlignment="1" applyProtection="1">
      <alignment horizontal="left" vertical="center" wrapText="1"/>
      <protection locked="0"/>
    </xf>
    <xf numFmtId="165" fontId="0" fillId="3" borderId="5" xfId="3" applyFont="1" applyFill="1" applyBorder="1" applyAlignment="1">
      <alignment horizontal="left" vertical="center" wrapText="1"/>
    </xf>
    <xf numFmtId="165" fontId="16" fillId="3" borderId="100" xfId="3" applyFont="1" applyFill="1" applyBorder="1" applyAlignment="1">
      <alignment horizontal="left" vertical="center" wrapText="1"/>
    </xf>
    <xf numFmtId="165" fontId="0" fillId="3" borderId="100" xfId="3" applyFont="1" applyFill="1" applyBorder="1" applyAlignment="1">
      <alignment horizontal="left" vertical="center" wrapText="1"/>
    </xf>
    <xf numFmtId="165" fontId="0" fillId="2" borderId="53" xfId="3" applyFont="1" applyFill="1" applyBorder="1" applyAlignment="1" applyProtection="1">
      <alignment horizontal="left" vertical="center" wrapText="1"/>
      <protection locked="0"/>
    </xf>
    <xf numFmtId="165" fontId="0" fillId="3" borderId="98" xfId="3" applyFont="1" applyFill="1" applyBorder="1" applyAlignment="1">
      <alignment horizontal="left" vertical="center" wrapText="1"/>
    </xf>
    <xf numFmtId="165" fontId="14" fillId="3" borderId="14" xfId="3" applyFont="1" applyFill="1" applyBorder="1" applyAlignment="1">
      <alignment horizontal="left"/>
    </xf>
    <xf numFmtId="165" fontId="9" fillId="0" borderId="0" xfId="3" applyFont="1" applyAlignment="1">
      <alignment horizontal="left" vertical="center" wrapText="1"/>
    </xf>
    <xf numFmtId="165" fontId="44" fillId="0" borderId="0" xfId="3" applyFont="1" applyAlignment="1">
      <alignment horizontal="left" vertical="center"/>
    </xf>
    <xf numFmtId="165" fontId="28" fillId="0" borderId="8" xfId="3" applyFont="1" applyBorder="1" applyAlignment="1">
      <alignment horizontal="left" vertical="center" wrapText="1"/>
    </xf>
    <xf numFmtId="165" fontId="28" fillId="2" borderId="7" xfId="3" applyFont="1" applyFill="1" applyBorder="1" applyAlignment="1">
      <alignment horizontal="left" vertical="center" wrapText="1"/>
    </xf>
    <xf numFmtId="165" fontId="28" fillId="0" borderId="10" xfId="3" applyFont="1" applyBorder="1" applyAlignment="1">
      <alignment horizontal="left" vertical="center" wrapText="1"/>
    </xf>
    <xf numFmtId="165" fontId="9" fillId="3" borderId="7" xfId="3" applyFont="1" applyFill="1" applyBorder="1" applyAlignment="1">
      <alignment horizontal="left" vertical="center" wrapText="1"/>
    </xf>
    <xf numFmtId="165" fontId="9" fillId="4" borderId="7" xfId="3" applyFont="1" applyFill="1" applyBorder="1" applyAlignment="1">
      <alignment horizontal="left" vertical="center" wrapText="1"/>
    </xf>
    <xf numFmtId="165" fontId="28" fillId="3" borderId="1" xfId="3" applyFont="1" applyFill="1" applyBorder="1" applyAlignment="1">
      <alignment horizontal="left" vertical="center" wrapText="1"/>
    </xf>
    <xf numFmtId="165" fontId="30" fillId="0" borderId="0" xfId="3" applyFont="1" applyAlignment="1">
      <alignment horizontal="left" vertical="center" wrapText="1"/>
    </xf>
    <xf numFmtId="165" fontId="30" fillId="0" borderId="0" xfId="3" applyFont="1" applyAlignment="1">
      <alignment horizontal="left" vertical="center"/>
    </xf>
    <xf numFmtId="165" fontId="30" fillId="4" borderId="1" xfId="3" applyFont="1" applyFill="1" applyBorder="1" applyAlignment="1">
      <alignment horizontal="left" vertical="center" wrapText="1"/>
    </xf>
    <xf numFmtId="165" fontId="30" fillId="2" borderId="1" xfId="3" applyFont="1" applyFill="1" applyBorder="1" applyAlignment="1" applyProtection="1">
      <alignment horizontal="left" vertical="center"/>
      <protection locked="0"/>
    </xf>
    <xf numFmtId="165" fontId="30" fillId="3" borderId="96" xfId="3" applyFont="1" applyFill="1" applyBorder="1" applyAlignment="1">
      <alignment horizontal="left" vertical="center"/>
    </xf>
    <xf numFmtId="165" fontId="9" fillId="4" borderId="2" xfId="3" applyFont="1" applyFill="1" applyBorder="1" applyAlignment="1">
      <alignment horizontal="left" vertical="center"/>
    </xf>
    <xf numFmtId="165" fontId="9" fillId="3" borderId="97" xfId="3" applyFont="1" applyFill="1" applyBorder="1" applyAlignment="1">
      <alignment horizontal="left" vertical="center"/>
    </xf>
    <xf numFmtId="165" fontId="30" fillId="3" borderId="97" xfId="3" applyFont="1" applyFill="1" applyBorder="1" applyAlignment="1">
      <alignment horizontal="left" vertical="center"/>
    </xf>
    <xf numFmtId="165" fontId="9" fillId="4" borderId="12" xfId="3" applyFont="1" applyFill="1" applyBorder="1" applyAlignment="1">
      <alignment horizontal="left" vertical="top" wrapText="1"/>
    </xf>
    <xf numFmtId="165" fontId="9" fillId="4" borderId="0" xfId="3" applyFont="1" applyFill="1" applyAlignment="1">
      <alignment horizontal="left" vertical="top" wrapText="1"/>
    </xf>
    <xf numFmtId="165" fontId="30" fillId="3" borderId="95" xfId="3" applyFont="1" applyFill="1" applyBorder="1" applyAlignment="1">
      <alignment horizontal="left" vertical="center"/>
    </xf>
    <xf numFmtId="165" fontId="30" fillId="2" borderId="5" xfId="3" applyFont="1" applyFill="1" applyBorder="1" applyAlignment="1" applyProtection="1">
      <alignment horizontal="left" vertical="center"/>
      <protection locked="0"/>
    </xf>
    <xf numFmtId="165" fontId="30" fillId="0" borderId="0" xfId="3" applyFont="1" applyAlignment="1">
      <alignment horizontal="left" wrapText="1"/>
    </xf>
    <xf numFmtId="165" fontId="20" fillId="3" borderId="21" xfId="3" applyFont="1" applyFill="1" applyBorder="1" applyAlignment="1">
      <alignment horizontal="left" vertical="center"/>
    </xf>
    <xf numFmtId="165" fontId="20" fillId="3" borderId="45" xfId="3" applyFont="1" applyFill="1" applyBorder="1" applyAlignment="1">
      <alignment horizontal="left" vertical="center"/>
    </xf>
    <xf numFmtId="165" fontId="9" fillId="5" borderId="0" xfId="3" applyFont="1" applyFill="1" applyAlignment="1">
      <alignment horizontal="left" vertical="center"/>
    </xf>
    <xf numFmtId="165" fontId="9" fillId="3" borderId="1" xfId="3" applyFont="1" applyFill="1" applyBorder="1" applyAlignment="1">
      <alignment horizontal="left" vertical="center"/>
    </xf>
    <xf numFmtId="165" fontId="9" fillId="4" borderId="23" xfId="3" applyFont="1" applyFill="1" applyBorder="1" applyAlignment="1">
      <alignment horizontal="left" vertical="center" wrapText="1"/>
    </xf>
    <xf numFmtId="165" fontId="9" fillId="4" borderId="40" xfId="3" applyFont="1" applyFill="1" applyBorder="1" applyAlignment="1">
      <alignment horizontal="left" vertical="center" wrapText="1"/>
    </xf>
    <xf numFmtId="165" fontId="9" fillId="0" borderId="0" xfId="3" applyFont="1" applyAlignment="1">
      <alignment horizontal="left" vertical="center"/>
    </xf>
    <xf numFmtId="165" fontId="115" fillId="78" borderId="1" xfId="3" applyFont="1" applyFill="1" applyBorder="1" applyAlignment="1">
      <alignment horizontal="left" vertical="center" wrapText="1"/>
    </xf>
    <xf numFmtId="165" fontId="28" fillId="4" borderId="3" xfId="3" applyFont="1" applyFill="1" applyBorder="1" applyAlignment="1" applyProtection="1">
      <alignment horizontal="left" vertical="center" wrapText="1"/>
    </xf>
    <xf numFmtId="165" fontId="1" fillId="2" borderId="7" xfId="3" applyFont="1" applyFill="1" applyBorder="1" applyAlignment="1" applyProtection="1">
      <alignment horizontal="left"/>
      <protection locked="0"/>
    </xf>
    <xf numFmtId="165" fontId="1" fillId="3" borderId="7" xfId="3" applyFont="1" applyFill="1" applyBorder="1" applyAlignment="1">
      <alignment horizontal="left"/>
    </xf>
    <xf numFmtId="165" fontId="8" fillId="70" borderId="7" xfId="3" applyFont="1" applyFill="1" applyBorder="1" applyAlignment="1">
      <alignment horizontal="left"/>
    </xf>
    <xf numFmtId="165" fontId="1" fillId="3" borderId="1" xfId="3" applyFont="1" applyFill="1" applyBorder="1" applyAlignment="1" applyProtection="1">
      <alignment horizontal="left"/>
    </xf>
    <xf numFmtId="165" fontId="23" fillId="3" borderId="2" xfId="3" applyFont="1" applyFill="1" applyBorder="1" applyAlignment="1">
      <alignment horizontal="left" vertical="center" wrapText="1"/>
    </xf>
    <xf numFmtId="165" fontId="23" fillId="3" borderId="6" xfId="3" applyFont="1" applyFill="1" applyBorder="1" applyAlignment="1">
      <alignment horizontal="left" vertical="center" wrapText="1"/>
    </xf>
    <xf numFmtId="165" fontId="23" fillId="3" borderId="100" xfId="3" applyFont="1" applyFill="1" applyBorder="1" applyAlignment="1">
      <alignment horizontal="left" vertical="center" wrapText="1"/>
    </xf>
    <xf numFmtId="165" fontId="116" fillId="0" borderId="0" xfId="3" applyFont="1" applyAlignment="1">
      <alignment horizontal="left"/>
    </xf>
    <xf numFmtId="165" fontId="48" fillId="3" borderId="1" xfId="3" applyFont="1" applyFill="1" applyBorder="1" applyAlignment="1" applyProtection="1">
      <alignment horizontal="left"/>
    </xf>
    <xf numFmtId="165" fontId="23" fillId="3" borderId="5" xfId="3" applyFont="1" applyFill="1" applyBorder="1" applyAlignment="1">
      <alignment horizontal="left" vertical="center" wrapText="1"/>
    </xf>
    <xf numFmtId="165" fontId="117" fillId="0" borderId="0" xfId="3" applyFont="1" applyAlignment="1" applyProtection="1">
      <alignment horizontal="left"/>
      <protection locked="0"/>
    </xf>
    <xf numFmtId="165" fontId="17" fillId="0" borderId="0" xfId="3" applyFont="1" applyAlignment="1">
      <alignment horizontal="left" vertical="center" wrapText="1"/>
    </xf>
    <xf numFmtId="165" fontId="0" fillId="0" borderId="0" xfId="3" applyFont="1" applyAlignment="1">
      <alignment horizontal="left" vertical="center"/>
    </xf>
    <xf numFmtId="165" fontId="0" fillId="0" borderId="0" xfId="3" applyFont="1" applyFill="1" applyBorder="1" applyAlignment="1" applyProtection="1">
      <alignment horizontal="left"/>
    </xf>
    <xf numFmtId="165" fontId="11" fillId="0" borderId="8" xfId="3" applyFont="1" applyBorder="1" applyAlignment="1">
      <alignment horizontal="left" vertical="center" wrapText="1"/>
    </xf>
    <xf numFmtId="165" fontId="12" fillId="2" borderId="7" xfId="3" applyFont="1" applyFill="1" applyBorder="1" applyAlignment="1">
      <alignment horizontal="left" vertical="center" wrapText="1"/>
    </xf>
    <xf numFmtId="165" fontId="11" fillId="0" borderId="10" xfId="3" applyFont="1" applyBorder="1" applyAlignment="1">
      <alignment horizontal="left" vertical="center" wrapText="1"/>
    </xf>
    <xf numFmtId="165" fontId="6" fillId="3" borderId="7" xfId="3" applyFont="1" applyFill="1" applyBorder="1" applyAlignment="1">
      <alignment horizontal="left" vertical="center" wrapText="1"/>
    </xf>
    <xf numFmtId="165" fontId="6" fillId="4" borderId="7" xfId="3" applyFont="1" applyFill="1" applyBorder="1" applyAlignment="1">
      <alignment horizontal="left" vertical="center" wrapText="1"/>
    </xf>
    <xf numFmtId="165" fontId="98" fillId="0" borderId="0" xfId="3" applyFont="1" applyAlignment="1">
      <alignment horizontal="left" vertical="center" wrapText="1"/>
    </xf>
    <xf numFmtId="165" fontId="23" fillId="4" borderId="1" xfId="3" applyFont="1" applyFill="1" applyBorder="1" applyAlignment="1">
      <alignment horizontal="left" vertical="center" wrapText="1"/>
    </xf>
    <xf numFmtId="165" fontId="23" fillId="4" borderId="95" xfId="3" applyFont="1" applyFill="1" applyBorder="1" applyAlignment="1">
      <alignment horizontal="left" vertical="center" wrapText="1"/>
    </xf>
    <xf numFmtId="165" fontId="25" fillId="4" borderId="1" xfId="3" applyFont="1" applyFill="1" applyBorder="1" applyAlignment="1" applyProtection="1">
      <alignment horizontal="left" vertical="center" wrapText="1"/>
    </xf>
    <xf numFmtId="165" fontId="1" fillId="2" borderId="1" xfId="3" applyFont="1" applyFill="1" applyBorder="1" applyAlignment="1" applyProtection="1">
      <alignment horizontal="left" vertical="center"/>
      <protection locked="0"/>
    </xf>
    <xf numFmtId="165" fontId="8" fillId="3" borderId="96" xfId="3" applyFont="1" applyFill="1" applyBorder="1" applyAlignment="1" applyProtection="1">
      <alignment horizontal="left" vertical="center"/>
    </xf>
    <xf numFmtId="165" fontId="8" fillId="3" borderId="97" xfId="3" applyFont="1" applyFill="1" applyBorder="1" applyAlignment="1" applyProtection="1">
      <alignment horizontal="left" vertical="center"/>
    </xf>
    <xf numFmtId="165" fontId="6" fillId="0" borderId="0" xfId="3" applyFont="1" applyAlignment="1">
      <alignment horizontal="left"/>
    </xf>
    <xf numFmtId="165" fontId="69" fillId="0" borderId="0" xfId="3" applyFont="1" applyAlignment="1">
      <alignment horizontal="left"/>
    </xf>
    <xf numFmtId="165" fontId="8" fillId="0" borderId="0" xfId="3" applyFont="1" applyAlignment="1">
      <alignment horizontal="left"/>
    </xf>
    <xf numFmtId="165" fontId="8" fillId="5" borderId="0" xfId="3" applyFont="1" applyFill="1" applyAlignment="1">
      <alignment horizontal="left" vertical="center" wrapText="1"/>
    </xf>
    <xf numFmtId="165" fontId="93" fillId="0" borderId="0" xfId="3" applyFont="1" applyAlignment="1">
      <alignment horizontal="left" vertical="center" wrapText="1"/>
    </xf>
    <xf numFmtId="165" fontId="198" fillId="0" borderId="12" xfId="3" applyFont="1" applyBorder="1" applyAlignment="1">
      <alignment horizontal="left" vertical="center" wrapText="1"/>
    </xf>
    <xf numFmtId="165" fontId="198" fillId="0" borderId="0" xfId="3" applyFont="1" applyAlignment="1">
      <alignment horizontal="left" vertical="center" wrapText="1"/>
    </xf>
    <xf numFmtId="165" fontId="25" fillId="0" borderId="0" xfId="3" applyFont="1" applyFill="1" applyBorder="1" applyAlignment="1" applyProtection="1">
      <alignment horizontal="left" vertical="center"/>
    </xf>
    <xf numFmtId="165" fontId="98" fillId="0" borderId="0" xfId="3" applyFont="1" applyAlignment="1">
      <alignment horizontal="left" vertical="center"/>
    </xf>
    <xf numFmtId="165" fontId="8" fillId="0" borderId="8" xfId="3" applyFont="1" applyBorder="1" applyAlignment="1">
      <alignment horizontal="left"/>
    </xf>
    <xf numFmtId="165" fontId="71" fillId="73" borderId="95" xfId="3" applyFont="1" applyFill="1" applyBorder="1" applyAlignment="1" applyProtection="1">
      <alignment horizontal="left" vertical="center" wrapText="1"/>
    </xf>
    <xf numFmtId="165" fontId="71" fillId="73" borderId="3" xfId="3" applyFont="1" applyFill="1" applyBorder="1" applyAlignment="1" applyProtection="1">
      <alignment horizontal="left" vertical="center" wrapText="1"/>
    </xf>
    <xf numFmtId="165" fontId="71" fillId="73" borderId="4" xfId="3" applyFont="1" applyFill="1" applyBorder="1" applyAlignment="1" applyProtection="1">
      <alignment horizontal="left" vertical="center" wrapText="1"/>
    </xf>
    <xf numFmtId="165" fontId="71" fillId="73" borderId="96" xfId="3" applyFont="1" applyFill="1" applyBorder="1" applyAlignment="1" applyProtection="1">
      <alignment horizontal="left" vertical="center" wrapText="1"/>
    </xf>
    <xf numFmtId="165" fontId="1" fillId="2" borderId="2" xfId="3" applyFont="1" applyFill="1" applyBorder="1" applyAlignment="1" applyProtection="1">
      <alignment horizontal="left"/>
      <protection locked="0"/>
    </xf>
    <xf numFmtId="165" fontId="1" fillId="3" borderId="96" xfId="3" applyFont="1" applyFill="1" applyBorder="1" applyAlignment="1" applyProtection="1">
      <alignment horizontal="left"/>
    </xf>
    <xf numFmtId="165" fontId="71" fillId="73" borderId="39" xfId="3" applyFont="1" applyFill="1" applyBorder="1" applyAlignment="1" applyProtection="1">
      <alignment horizontal="left" vertical="center" wrapText="1"/>
    </xf>
    <xf numFmtId="165" fontId="71" fillId="73" borderId="41" xfId="3" applyFont="1" applyFill="1" applyBorder="1" applyAlignment="1" applyProtection="1">
      <alignment horizontal="left" vertical="center" wrapText="1"/>
    </xf>
    <xf numFmtId="165" fontId="1" fillId="2" borderId="39" xfId="3" applyFont="1" applyFill="1" applyBorder="1" applyAlignment="1" applyProtection="1">
      <alignment horizontal="left"/>
      <protection locked="0"/>
    </xf>
    <xf numFmtId="165" fontId="1" fillId="3" borderId="41" xfId="3" applyFont="1" applyFill="1" applyBorder="1" applyAlignment="1" applyProtection="1">
      <alignment horizontal="left"/>
    </xf>
    <xf numFmtId="165" fontId="23" fillId="70" borderId="39" xfId="3" applyFont="1" applyFill="1" applyBorder="1" applyAlignment="1">
      <alignment horizontal="left" vertical="center" wrapText="1"/>
    </xf>
    <xf numFmtId="165" fontId="118" fillId="0" borderId="0" xfId="3" applyFont="1" applyAlignment="1">
      <alignment horizontal="left"/>
    </xf>
    <xf numFmtId="165" fontId="2" fillId="0" borderId="0" xfId="3" applyFont="1" applyAlignment="1">
      <alignment horizontal="left"/>
    </xf>
    <xf numFmtId="165" fontId="118" fillId="81" borderId="1" xfId="3" applyFont="1" applyFill="1" applyBorder="1" applyAlignment="1">
      <alignment horizontal="left" vertical="center" wrapText="1"/>
    </xf>
    <xf numFmtId="165" fontId="118" fillId="57" borderId="1" xfId="3" applyFont="1" applyFill="1" applyBorder="1" applyAlignment="1">
      <alignment horizontal="left"/>
    </xf>
    <xf numFmtId="165" fontId="118" fillId="96" borderId="1" xfId="3" applyFont="1" applyFill="1" applyBorder="1" applyAlignment="1">
      <alignment horizontal="left"/>
    </xf>
    <xf numFmtId="165" fontId="118" fillId="57" borderId="5" xfId="3" applyFont="1" applyFill="1" applyBorder="1" applyAlignment="1">
      <alignment horizontal="left"/>
    </xf>
    <xf numFmtId="165" fontId="77" fillId="81" borderId="1" xfId="3" applyFont="1" applyFill="1" applyBorder="1" applyAlignment="1">
      <alignment horizontal="left" vertical="center" wrapText="1"/>
    </xf>
    <xf numFmtId="165" fontId="77" fillId="98" borderId="45" xfId="3" applyFont="1" applyFill="1" applyBorder="1" applyAlignment="1">
      <alignment horizontal="left" vertical="center"/>
    </xf>
    <xf numFmtId="165" fontId="118" fillId="0" borderId="0" xfId="3" applyFont="1" applyAlignment="1">
      <alignment horizontal="left" vertical="center" wrapText="1"/>
    </xf>
    <xf numFmtId="165" fontId="118" fillId="98" borderId="1" xfId="3" applyFont="1" applyFill="1" applyBorder="1" applyAlignment="1">
      <alignment horizontal="left" vertical="center"/>
    </xf>
    <xf numFmtId="165" fontId="174" fillId="0" borderId="0" xfId="3" applyFont="1" applyAlignment="1">
      <alignment horizontal="left"/>
    </xf>
    <xf numFmtId="165" fontId="118" fillId="98" borderId="1" xfId="3" applyFont="1" applyFill="1" applyBorder="1" applyAlignment="1">
      <alignment horizontal="left"/>
    </xf>
    <xf numFmtId="165" fontId="118" fillId="98" borderId="5" xfId="3" applyFont="1" applyFill="1" applyBorder="1" applyAlignment="1">
      <alignment horizontal="left" vertical="center"/>
    </xf>
    <xf numFmtId="165" fontId="77" fillId="0" borderId="0" xfId="3" applyFont="1" applyAlignment="1">
      <alignment horizontal="left" vertical="center" wrapText="1"/>
    </xf>
    <xf numFmtId="165" fontId="77" fillId="81" borderId="54" xfId="3" applyFont="1" applyFill="1" applyBorder="1" applyAlignment="1">
      <alignment horizontal="left" vertical="center" wrapText="1"/>
    </xf>
    <xf numFmtId="165" fontId="174" fillId="0" borderId="0" xfId="3" applyFont="1" applyAlignment="1">
      <alignment horizontal="left" vertical="center" wrapText="1"/>
    </xf>
    <xf numFmtId="165" fontId="118" fillId="81" borderId="2" xfId="3" applyFont="1" applyFill="1" applyBorder="1" applyAlignment="1">
      <alignment horizontal="left" vertical="center" wrapText="1"/>
    </xf>
    <xf numFmtId="165" fontId="77" fillId="98" borderId="95" xfId="3" applyFont="1" applyFill="1" applyBorder="1" applyAlignment="1">
      <alignment horizontal="left" vertical="center"/>
    </xf>
    <xf numFmtId="165" fontId="77" fillId="98" borderId="96" xfId="3" applyFont="1" applyFill="1" applyBorder="1" applyAlignment="1">
      <alignment horizontal="left" vertical="center"/>
    </xf>
    <xf numFmtId="165" fontId="77" fillId="98" borderId="37" xfId="3" applyFont="1" applyFill="1" applyBorder="1" applyAlignment="1">
      <alignment horizontal="left" vertical="center"/>
    </xf>
    <xf numFmtId="165" fontId="50" fillId="0" borderId="0" xfId="3" applyFont="1" applyAlignment="1">
      <alignment horizontal="left"/>
    </xf>
    <xf numFmtId="165" fontId="1" fillId="0" borderId="0" xfId="3" applyFont="1" applyAlignment="1" applyProtection="1">
      <alignment horizontal="left"/>
    </xf>
    <xf numFmtId="165" fontId="28" fillId="17" borderId="1" xfId="3" applyFont="1" applyFill="1" applyBorder="1" applyAlignment="1">
      <alignment horizontal="left" vertical="center" wrapText="1"/>
    </xf>
    <xf numFmtId="165" fontId="25" fillId="3" borderId="7" xfId="3" applyFont="1" applyFill="1" applyBorder="1" applyAlignment="1" applyProtection="1">
      <alignment horizontal="left" vertical="center" wrapText="1"/>
    </xf>
    <xf numFmtId="165" fontId="1" fillId="2" borderId="1" xfId="3" applyFont="1" applyFill="1" applyBorder="1" applyAlignment="1" applyProtection="1">
      <alignment horizontal="left"/>
      <protection locked="0"/>
    </xf>
    <xf numFmtId="165" fontId="8" fillId="3" borderId="195" xfId="3" applyFont="1" applyFill="1" applyBorder="1" applyAlignment="1">
      <alignment horizontal="left" vertical="center"/>
    </xf>
    <xf numFmtId="165" fontId="118" fillId="12" borderId="0" xfId="3" applyFont="1" applyFill="1" applyAlignment="1">
      <alignment horizontal="left" vertical="center"/>
    </xf>
    <xf numFmtId="165" fontId="1" fillId="5" borderId="0" xfId="3" applyFont="1" applyFill="1" applyAlignment="1">
      <alignment horizontal="left" vertical="center"/>
    </xf>
    <xf numFmtId="165" fontId="8" fillId="3" borderId="54" xfId="3" applyFont="1" applyFill="1" applyBorder="1" applyAlignment="1">
      <alignment horizontal="left" vertical="center"/>
    </xf>
    <xf numFmtId="165" fontId="122" fillId="12" borderId="0" xfId="3" applyFont="1" applyFill="1" applyAlignment="1">
      <alignment horizontal="left" vertical="center"/>
    </xf>
    <xf numFmtId="165" fontId="121" fillId="11" borderId="1" xfId="3" applyFont="1" applyFill="1" applyBorder="1" applyAlignment="1">
      <alignment horizontal="left" vertical="center" wrapText="1"/>
    </xf>
    <xf numFmtId="165" fontId="121" fillId="19" borderId="1" xfId="3" applyFont="1" applyFill="1" applyBorder="1" applyAlignment="1" applyProtection="1">
      <alignment horizontal="left" vertical="center"/>
      <protection locked="0"/>
    </xf>
    <xf numFmtId="165" fontId="121" fillId="3" borderId="1" xfId="3" applyFont="1" applyFill="1" applyBorder="1" applyAlignment="1" applyProtection="1">
      <alignment horizontal="left" vertical="center"/>
    </xf>
    <xf numFmtId="165" fontId="1" fillId="3" borderId="96" xfId="3" applyFont="1" applyFill="1" applyBorder="1" applyAlignment="1">
      <alignment horizontal="left"/>
    </xf>
    <xf numFmtId="165" fontId="1" fillId="3" borderId="97" xfId="3" applyFont="1" applyFill="1" applyBorder="1" applyAlignment="1">
      <alignment horizontal="left"/>
    </xf>
    <xf numFmtId="165" fontId="209" fillId="0" borderId="0" xfId="3" applyFont="1" applyAlignment="1">
      <alignment horizontal="left"/>
    </xf>
    <xf numFmtId="165" fontId="1" fillId="11" borderId="1" xfId="3" applyFont="1" applyFill="1" applyBorder="1" applyAlignment="1">
      <alignment horizontal="left" vertical="center" wrapText="1"/>
    </xf>
    <xf numFmtId="165" fontId="8" fillId="3" borderId="96" xfId="3" applyFont="1" applyFill="1" applyBorder="1" applyAlignment="1">
      <alignment horizontal="left"/>
    </xf>
    <xf numFmtId="165" fontId="23" fillId="3" borderId="21" xfId="3" applyFont="1" applyFill="1" applyBorder="1" applyAlignment="1">
      <alignment horizontal="left" vertical="center" wrapText="1"/>
    </xf>
    <xf numFmtId="165" fontId="9" fillId="7" borderId="1" xfId="3" applyFont="1" applyFill="1" applyBorder="1" applyAlignment="1">
      <alignment horizontal="left" vertical="center"/>
    </xf>
    <xf numFmtId="165" fontId="9" fillId="7" borderId="1" xfId="3" applyFont="1" applyFill="1" applyBorder="1" applyAlignment="1">
      <alignment horizontal="left" vertical="center" wrapText="1"/>
    </xf>
    <xf numFmtId="165" fontId="1" fillId="4" borderId="1" xfId="3" applyFont="1" applyFill="1" applyBorder="1" applyAlignment="1">
      <alignment horizontal="left" vertical="center"/>
    </xf>
    <xf numFmtId="165" fontId="96" fillId="0" borderId="0" xfId="3" applyFont="1" applyAlignment="1">
      <alignment horizontal="left"/>
    </xf>
    <xf numFmtId="165" fontId="23" fillId="3" borderId="1" xfId="3" applyFont="1" applyFill="1" applyBorder="1" applyAlignment="1">
      <alignment horizontal="left" vertical="center"/>
    </xf>
    <xf numFmtId="165" fontId="8" fillId="4" borderId="95" xfId="3" applyFont="1" applyFill="1" applyBorder="1" applyAlignment="1">
      <alignment horizontal="left" vertical="center" wrapText="1"/>
    </xf>
    <xf numFmtId="165" fontId="93" fillId="0" borderId="0" xfId="3" applyFont="1" applyAlignment="1">
      <alignment horizontal="left" wrapText="1"/>
    </xf>
    <xf numFmtId="165" fontId="1" fillId="3" borderId="1" xfId="3" applyFont="1" applyFill="1" applyBorder="1" applyAlignment="1">
      <alignment horizontal="left"/>
    </xf>
    <xf numFmtId="165" fontId="1" fillId="3" borderId="2" xfId="3" applyFont="1" applyFill="1" applyBorder="1" applyAlignment="1">
      <alignment horizontal="left" vertical="center" wrapText="1"/>
    </xf>
    <xf numFmtId="165" fontId="8" fillId="3" borderId="96" xfId="3" applyFont="1" applyFill="1" applyBorder="1" applyAlignment="1">
      <alignment horizontal="left" vertical="center" wrapText="1"/>
    </xf>
    <xf numFmtId="165" fontId="8" fillId="3" borderId="97" xfId="3" applyFont="1" applyFill="1" applyBorder="1" applyAlignment="1">
      <alignment horizontal="left" vertical="center" wrapText="1"/>
    </xf>
    <xf numFmtId="165" fontId="43" fillId="0" borderId="2" xfId="3" applyFont="1" applyBorder="1" applyAlignment="1">
      <alignment horizontal="left"/>
    </xf>
    <xf numFmtId="165" fontId="43" fillId="0" borderId="4" xfId="3" applyFont="1" applyBorder="1" applyAlignment="1">
      <alignment horizontal="left"/>
    </xf>
    <xf numFmtId="165" fontId="43" fillId="0" borderId="0" xfId="3" applyFont="1" applyAlignment="1">
      <alignment horizontal="left"/>
    </xf>
    <xf numFmtId="165" fontId="97" fillId="0" borderId="2" xfId="3" applyFont="1" applyBorder="1" applyAlignment="1">
      <alignment horizontal="left"/>
    </xf>
    <xf numFmtId="165" fontId="97" fillId="0" borderId="4" xfId="3" applyFont="1" applyBorder="1" applyAlignment="1">
      <alignment horizontal="left"/>
    </xf>
    <xf numFmtId="165" fontId="97" fillId="0" borderId="38" xfId="3" applyFont="1" applyBorder="1" applyAlignment="1">
      <alignment horizontal="left"/>
    </xf>
    <xf numFmtId="165" fontId="97" fillId="0" borderId="0" xfId="3" applyFont="1" applyAlignment="1">
      <alignment horizontal="left"/>
    </xf>
    <xf numFmtId="165" fontId="25" fillId="2" borderId="1" xfId="3" applyFont="1" applyFill="1" applyBorder="1" applyAlignment="1" applyProtection="1">
      <alignment horizontal="left"/>
      <protection locked="0"/>
    </xf>
    <xf numFmtId="165" fontId="25" fillId="2" borderId="1" xfId="3" applyFont="1" applyFill="1" applyBorder="1" applyAlignment="1" applyProtection="1">
      <alignment horizontal="left" vertical="center"/>
      <protection locked="0"/>
    </xf>
    <xf numFmtId="165" fontId="1" fillId="3" borderId="2" xfId="3" applyFont="1" applyFill="1" applyBorder="1" applyAlignment="1">
      <alignment horizontal="left"/>
    </xf>
    <xf numFmtId="165" fontId="8" fillId="3" borderId="97" xfId="3" applyFont="1" applyFill="1" applyBorder="1" applyAlignment="1">
      <alignment horizontal="left"/>
    </xf>
    <xf numFmtId="165" fontId="8" fillId="3" borderId="1" xfId="3" applyFont="1" applyFill="1" applyBorder="1" applyAlignment="1" applyProtection="1">
      <alignment horizontal="left"/>
    </xf>
    <xf numFmtId="165" fontId="1" fillId="0" borderId="0" xfId="3" applyFont="1" applyAlignment="1" applyProtection="1">
      <alignment horizontal="left" wrapText="1"/>
    </xf>
    <xf numFmtId="165" fontId="25" fillId="4" borderId="1" xfId="3" applyFont="1" applyFill="1" applyBorder="1" applyAlignment="1">
      <alignment horizontal="left" vertical="center"/>
    </xf>
    <xf numFmtId="165" fontId="23" fillId="2" borderId="2" xfId="3" applyFont="1" applyFill="1" applyBorder="1" applyAlignment="1" applyProtection="1">
      <alignment horizontal="left" vertical="center" wrapText="1"/>
      <protection locked="0"/>
    </xf>
    <xf numFmtId="165" fontId="8" fillId="70" borderId="39" xfId="3" applyFont="1" applyFill="1" applyBorder="1" applyAlignment="1">
      <alignment horizontal="left"/>
    </xf>
    <xf numFmtId="165" fontId="8" fillId="70" borderId="41" xfId="3" applyFont="1" applyFill="1" applyBorder="1" applyAlignment="1">
      <alignment horizontal="left" wrapText="1"/>
    </xf>
    <xf numFmtId="165" fontId="8" fillId="0" borderId="0" xfId="3" applyFont="1" applyFill="1" applyBorder="1" applyAlignment="1" applyProtection="1">
      <alignment horizontal="left"/>
    </xf>
    <xf numFmtId="165" fontId="25" fillId="0" borderId="0" xfId="3" applyFont="1" applyFill="1" applyBorder="1" applyAlignment="1" applyProtection="1">
      <alignment horizontal="left" vertical="center"/>
      <protection locked="0"/>
    </xf>
    <xf numFmtId="165" fontId="8" fillId="4" borderId="2" xfId="3" applyFont="1" applyFill="1" applyBorder="1" applyAlignment="1">
      <alignment horizontal="left"/>
    </xf>
    <xf numFmtId="165" fontId="8" fillId="3" borderId="37" xfId="3" applyFont="1" applyFill="1" applyBorder="1" applyAlignment="1">
      <alignment horizontal="left"/>
    </xf>
    <xf numFmtId="165" fontId="1" fillId="4" borderId="53" xfId="3" applyFont="1" applyFill="1" applyBorder="1" applyAlignment="1">
      <alignment horizontal="left" vertical="center" wrapText="1"/>
    </xf>
    <xf numFmtId="165" fontId="8" fillId="4" borderId="44" xfId="3" applyFont="1" applyFill="1" applyBorder="1" applyAlignment="1">
      <alignment horizontal="left" vertical="center" wrapText="1"/>
    </xf>
    <xf numFmtId="0" fontId="96" fillId="0" borderId="0" xfId="3" applyNumberFormat="1" applyFont="1" applyAlignment="1">
      <alignment horizontal="left" vertical="top"/>
    </xf>
    <xf numFmtId="165" fontId="96" fillId="0" borderId="0" xfId="3" applyFont="1" applyAlignment="1">
      <alignment horizontal="left" vertical="top"/>
    </xf>
    <xf numFmtId="165" fontId="25" fillId="4" borderId="2" xfId="3" applyFont="1" applyFill="1" applyBorder="1" applyAlignment="1">
      <alignment horizontal="left" vertical="center"/>
    </xf>
    <xf numFmtId="165" fontId="25" fillId="4" borderId="23" xfId="3" applyFont="1" applyFill="1" applyBorder="1" applyAlignment="1">
      <alignment horizontal="left" vertical="center" wrapText="1"/>
    </xf>
    <xf numFmtId="165" fontId="25" fillId="4" borderId="22" xfId="3" applyFont="1" applyFill="1" applyBorder="1" applyAlignment="1">
      <alignment horizontal="left" vertical="center" wrapText="1"/>
    </xf>
    <xf numFmtId="165" fontId="25" fillId="4" borderId="40" xfId="3" applyFont="1" applyFill="1" applyBorder="1" applyAlignment="1">
      <alignment horizontal="left" vertical="center" wrapText="1"/>
    </xf>
    <xf numFmtId="165" fontId="23" fillId="4" borderId="49" xfId="3" applyFont="1" applyFill="1" applyBorder="1" applyAlignment="1">
      <alignment horizontal="left" vertical="center" wrapText="1"/>
    </xf>
    <xf numFmtId="165" fontId="1" fillId="2" borderId="41" xfId="3" applyFont="1" applyFill="1" applyBorder="1" applyAlignment="1" applyProtection="1">
      <alignment horizontal="left"/>
      <protection locked="0"/>
    </xf>
    <xf numFmtId="165" fontId="8" fillId="3" borderId="78" xfId="3" applyFont="1" applyFill="1" applyBorder="1" applyAlignment="1">
      <alignment horizontal="left" vertical="center" wrapText="1"/>
    </xf>
    <xf numFmtId="165" fontId="1" fillId="2" borderId="53" xfId="3" applyFont="1" applyFill="1" applyBorder="1" applyAlignment="1" applyProtection="1">
      <alignment horizontal="left"/>
      <protection locked="0"/>
    </xf>
    <xf numFmtId="165" fontId="1" fillId="2" borderId="43" xfId="3" applyFont="1" applyFill="1" applyBorder="1" applyAlignment="1" applyProtection="1">
      <alignment horizontal="left"/>
      <protection locked="0"/>
    </xf>
    <xf numFmtId="165" fontId="1" fillId="2" borderId="44" xfId="3" applyFont="1" applyFill="1" applyBorder="1" applyAlignment="1" applyProtection="1">
      <alignment horizontal="left"/>
      <protection locked="0"/>
    </xf>
    <xf numFmtId="165" fontId="8" fillId="4" borderId="7" xfId="3" applyFont="1" applyFill="1" applyBorder="1" applyAlignment="1">
      <alignment horizontal="left"/>
    </xf>
    <xf numFmtId="165" fontId="8" fillId="3" borderId="154" xfId="3" applyFont="1" applyFill="1" applyBorder="1" applyAlignment="1">
      <alignment horizontal="left"/>
    </xf>
    <xf numFmtId="165" fontId="1" fillId="0" borderId="0" xfId="3" applyFont="1" applyAlignment="1">
      <alignment horizontal="left" wrapText="1"/>
    </xf>
    <xf numFmtId="165" fontId="1" fillId="3" borderId="1" xfId="3" applyFont="1" applyFill="1" applyBorder="1" applyAlignment="1">
      <alignment horizontal="left" vertical="center" wrapText="1"/>
    </xf>
    <xf numFmtId="165" fontId="25" fillId="4" borderId="2" xfId="3" applyFont="1" applyFill="1" applyBorder="1" applyAlignment="1">
      <alignment horizontal="left" vertical="center" wrapText="1"/>
    </xf>
    <xf numFmtId="165" fontId="25" fillId="4" borderId="4" xfId="3" applyFont="1" applyFill="1" applyBorder="1" applyAlignment="1">
      <alignment horizontal="left" vertical="center" wrapText="1"/>
    </xf>
    <xf numFmtId="165" fontId="14" fillId="73" borderId="14" xfId="3" applyFont="1" applyFill="1" applyBorder="1" applyAlignment="1">
      <alignment horizontal="left"/>
    </xf>
    <xf numFmtId="165" fontId="77" fillId="4" borderId="2" xfId="3" applyFont="1" applyFill="1" applyBorder="1" applyAlignment="1">
      <alignment horizontal="left" vertical="center" wrapText="1"/>
    </xf>
    <xf numFmtId="165" fontId="8" fillId="3" borderId="4" xfId="3" applyFont="1" applyFill="1" applyBorder="1" applyAlignment="1">
      <alignment horizontal="left"/>
    </xf>
    <xf numFmtId="165" fontId="215" fillId="9" borderId="14" xfId="3" applyFont="1" applyFill="1" applyBorder="1" applyAlignment="1">
      <alignment horizontal="left"/>
    </xf>
    <xf numFmtId="165" fontId="20" fillId="8" borderId="0" xfId="3" applyFont="1" applyFill="1" applyBorder="1" applyAlignment="1">
      <alignment horizontal="left" vertical="center" wrapText="1"/>
    </xf>
    <xf numFmtId="165" fontId="1" fillId="3" borderId="1" xfId="3" applyFont="1" applyFill="1" applyBorder="1" applyAlignment="1" applyProtection="1">
      <alignment horizontal="left" vertical="center"/>
    </xf>
    <xf numFmtId="165" fontId="1" fillId="3" borderId="7" xfId="3" applyFont="1" applyFill="1" applyBorder="1" applyAlignment="1">
      <alignment horizontal="left" vertical="center" wrapText="1"/>
    </xf>
    <xf numFmtId="165" fontId="23" fillId="3" borderId="96" xfId="3" applyFont="1" applyFill="1" applyBorder="1" applyAlignment="1">
      <alignment horizontal="left" vertical="center" wrapText="1"/>
    </xf>
    <xf numFmtId="165" fontId="20" fillId="8" borderId="38" xfId="3" applyFont="1" applyFill="1" applyBorder="1" applyAlignment="1">
      <alignment horizontal="left" vertical="center" wrapText="1"/>
    </xf>
    <xf numFmtId="165" fontId="23" fillId="4" borderId="2" xfId="3" applyFont="1" applyFill="1" applyBorder="1" applyAlignment="1">
      <alignment horizontal="left" vertical="center" wrapText="1"/>
    </xf>
    <xf numFmtId="165" fontId="23" fillId="70" borderId="1" xfId="3" applyFont="1" applyFill="1" applyBorder="1" applyAlignment="1">
      <alignment horizontal="left" vertical="center" wrapText="1"/>
    </xf>
    <xf numFmtId="165" fontId="1" fillId="3" borderId="2" xfId="3" applyFont="1" applyFill="1" applyBorder="1" applyAlignment="1" applyProtection="1">
      <alignment horizontal="left" vertical="center"/>
    </xf>
    <xf numFmtId="165" fontId="25" fillId="3" borderId="97" xfId="3" applyFont="1" applyFill="1" applyBorder="1" applyAlignment="1">
      <alignment horizontal="left" vertical="center"/>
    </xf>
    <xf numFmtId="165" fontId="2" fillId="0" borderId="0" xfId="3" applyFont="1" applyAlignment="1" applyProtection="1">
      <alignment horizontal="left"/>
    </xf>
    <xf numFmtId="0" fontId="116" fillId="5" borderId="17" xfId="3" applyNumberFormat="1" applyFont="1" applyFill="1" applyBorder="1" applyAlignment="1">
      <alignment horizontal="left"/>
    </xf>
    <xf numFmtId="165" fontId="1" fillId="3" borderId="7" xfId="3" applyFont="1" applyFill="1" applyBorder="1" applyAlignment="1" applyProtection="1">
      <alignment horizontal="left" vertical="center"/>
    </xf>
    <xf numFmtId="165" fontId="25" fillId="17" borderId="1" xfId="3" applyFont="1" applyFill="1" applyBorder="1" applyAlignment="1">
      <alignment horizontal="left" vertical="center" wrapText="1"/>
    </xf>
    <xf numFmtId="165" fontId="1" fillId="4" borderId="2" xfId="3" applyFont="1" applyFill="1" applyBorder="1" applyAlignment="1">
      <alignment horizontal="left" vertical="center" wrapText="1"/>
    </xf>
    <xf numFmtId="165" fontId="1" fillId="4" borderId="2" xfId="3" applyFont="1" applyFill="1" applyBorder="1" applyAlignment="1">
      <alignment horizontal="left" vertical="center"/>
    </xf>
    <xf numFmtId="165" fontId="9" fillId="4" borderId="5" xfId="3" applyFont="1" applyFill="1" applyBorder="1" applyAlignment="1">
      <alignment horizontal="left" vertical="center" wrapText="1"/>
    </xf>
    <xf numFmtId="165" fontId="1" fillId="3" borderId="5" xfId="3" applyFont="1" applyFill="1" applyBorder="1" applyAlignment="1">
      <alignment horizontal="left" vertical="center"/>
    </xf>
    <xf numFmtId="165" fontId="9" fillId="4" borderId="54" xfId="3" applyFont="1" applyFill="1" applyBorder="1" applyAlignment="1">
      <alignment horizontal="left" vertical="center" wrapText="1"/>
    </xf>
    <xf numFmtId="165" fontId="110" fillId="5" borderId="0" xfId="3" applyFont="1" applyFill="1" applyAlignment="1" applyProtection="1">
      <alignment horizontal="left"/>
    </xf>
    <xf numFmtId="165" fontId="23" fillId="7" borderId="1" xfId="3" applyFont="1" applyFill="1" applyBorder="1" applyAlignment="1">
      <alignment horizontal="left" vertical="center" wrapText="1"/>
    </xf>
    <xf numFmtId="165" fontId="23" fillId="7" borderId="2" xfId="3" applyFont="1" applyFill="1" applyBorder="1" applyAlignment="1">
      <alignment horizontal="left" vertical="center" wrapText="1"/>
    </xf>
    <xf numFmtId="165" fontId="23" fillId="7" borderId="95" xfId="3" applyFont="1" applyFill="1" applyBorder="1" applyAlignment="1">
      <alignment horizontal="left" vertical="center" wrapText="1"/>
    </xf>
    <xf numFmtId="165" fontId="1" fillId="2" borderId="1" xfId="3" applyFont="1" applyFill="1" applyBorder="1" applyAlignment="1">
      <alignment horizontal="left"/>
    </xf>
    <xf numFmtId="165" fontId="1" fillId="2" borderId="2" xfId="3" applyFont="1" applyFill="1" applyBorder="1" applyAlignment="1">
      <alignment horizontal="left"/>
    </xf>
    <xf numFmtId="165" fontId="1" fillId="2" borderId="96" xfId="3" applyFont="1" applyFill="1" applyBorder="1" applyAlignment="1">
      <alignment horizontal="left"/>
    </xf>
    <xf numFmtId="165" fontId="25" fillId="4" borderId="1" xfId="3" applyFont="1" applyFill="1" applyBorder="1" applyAlignment="1">
      <alignment horizontal="left"/>
    </xf>
    <xf numFmtId="165" fontId="1" fillId="4" borderId="1" xfId="3" applyFont="1" applyFill="1" applyBorder="1" applyAlignment="1" applyProtection="1">
      <alignment horizontal="left"/>
    </xf>
    <xf numFmtId="165" fontId="14" fillId="4" borderId="14" xfId="3" applyFont="1" applyFill="1" applyBorder="1" applyAlignment="1">
      <alignment horizontal="left" vertical="center" wrapText="1"/>
    </xf>
    <xf numFmtId="165" fontId="71" fillId="4" borderId="1" xfId="3" applyFont="1" applyFill="1" applyBorder="1" applyAlignment="1">
      <alignment horizontal="left" vertical="center" wrapText="1"/>
    </xf>
    <xf numFmtId="165" fontId="93" fillId="0" borderId="0" xfId="3" applyFont="1" applyAlignment="1" applyProtection="1">
      <alignment horizontal="left"/>
    </xf>
    <xf numFmtId="165" fontId="24" fillId="0" borderId="0" xfId="3" applyFont="1" applyFill="1" applyBorder="1" applyAlignment="1" applyProtection="1">
      <alignment horizontal="left" vertical="center" wrapText="1"/>
    </xf>
    <xf numFmtId="165" fontId="97" fillId="0" borderId="6" xfId="3" applyFont="1" applyBorder="1" applyAlignment="1">
      <alignment horizontal="left"/>
    </xf>
    <xf numFmtId="165" fontId="28" fillId="73" borderId="1" xfId="3" applyFont="1" applyFill="1" applyBorder="1" applyAlignment="1">
      <alignment horizontal="left" vertical="center" wrapText="1"/>
    </xf>
    <xf numFmtId="165" fontId="9" fillId="73" borderId="1" xfId="3" applyFont="1" applyFill="1" applyBorder="1" applyAlignment="1">
      <alignment horizontal="left" vertical="center" wrapText="1"/>
    </xf>
    <xf numFmtId="165" fontId="28" fillId="73" borderId="3" xfId="3" applyFont="1" applyFill="1" applyBorder="1" applyAlignment="1" applyProtection="1">
      <alignment horizontal="left" vertical="center" wrapText="1"/>
    </xf>
    <xf numFmtId="165" fontId="115" fillId="74" borderId="2" xfId="3" applyFont="1" applyFill="1" applyBorder="1" applyAlignment="1">
      <alignment horizontal="left" vertical="center" wrapText="1"/>
    </xf>
    <xf numFmtId="165" fontId="28" fillId="73" borderId="95" xfId="3" applyFont="1" applyFill="1" applyBorder="1" applyAlignment="1" applyProtection="1">
      <alignment horizontal="left" vertical="center" wrapText="1"/>
    </xf>
    <xf numFmtId="165" fontId="25" fillId="3" borderId="1" xfId="3" applyFont="1" applyFill="1" applyBorder="1" applyAlignment="1">
      <alignment horizontal="left" vertical="center"/>
    </xf>
    <xf numFmtId="165" fontId="25" fillId="3" borderId="5" xfId="3" applyFont="1" applyFill="1" applyBorder="1" applyAlignment="1">
      <alignment horizontal="left" vertical="center" wrapText="1"/>
    </xf>
    <xf numFmtId="165" fontId="25" fillId="3" borderId="195" xfId="3" applyFont="1" applyFill="1" applyBorder="1" applyAlignment="1">
      <alignment horizontal="left" vertical="center" wrapText="1"/>
    </xf>
    <xf numFmtId="165" fontId="93" fillId="0" borderId="10" xfId="3" applyFont="1" applyBorder="1" applyAlignment="1">
      <alignment horizontal="left"/>
    </xf>
    <xf numFmtId="165" fontId="119" fillId="0" borderId="10" xfId="3" applyFont="1" applyBorder="1" applyAlignment="1">
      <alignment horizontal="left"/>
    </xf>
    <xf numFmtId="165" fontId="109" fillId="0" borderId="0" xfId="3" applyFont="1" applyAlignment="1">
      <alignment horizontal="left" vertical="center" wrapText="1"/>
    </xf>
    <xf numFmtId="165" fontId="216" fillId="108" borderId="57" xfId="3" applyFont="1" applyFill="1" applyBorder="1" applyAlignment="1">
      <alignment horizontal="left" vertical="center" wrapText="1"/>
    </xf>
    <xf numFmtId="165" fontId="216" fillId="108" borderId="57" xfId="3" applyFont="1" applyFill="1" applyBorder="1" applyAlignment="1">
      <alignment horizontal="left" vertical="center"/>
    </xf>
    <xf numFmtId="165" fontId="117" fillId="0" borderId="0" xfId="3" applyFont="1" applyAlignment="1">
      <alignment horizontal="left" vertical="center"/>
    </xf>
    <xf numFmtId="165" fontId="43" fillId="0" borderId="38" xfId="3" applyFont="1" applyBorder="1" applyAlignment="1">
      <alignment horizontal="left"/>
    </xf>
    <xf numFmtId="165" fontId="177" fillId="0" borderId="0" xfId="3" applyFont="1" applyAlignment="1">
      <alignment horizontal="left"/>
    </xf>
    <xf numFmtId="165" fontId="93" fillId="0" borderId="1" xfId="3" applyFont="1" applyBorder="1" applyAlignment="1">
      <alignment horizontal="left"/>
    </xf>
    <xf numFmtId="165" fontId="109" fillId="0" borderId="0" xfId="3" applyFont="1" applyAlignment="1">
      <alignment horizontal="left" vertical="center"/>
    </xf>
    <xf numFmtId="165" fontId="28" fillId="4" borderId="95" xfId="3" applyFont="1" applyFill="1" applyBorder="1" applyAlignment="1">
      <alignment horizontal="left" vertical="center" wrapText="1"/>
    </xf>
    <xf numFmtId="0" fontId="95" fillId="0" borderId="0" xfId="3" applyNumberFormat="1" applyFont="1" applyAlignment="1">
      <alignment horizontal="left" vertical="center"/>
    </xf>
    <xf numFmtId="165" fontId="16" fillId="5" borderId="0" xfId="3" applyFont="1" applyFill="1" applyAlignment="1">
      <alignment horizontal="left"/>
    </xf>
    <xf numFmtId="165" fontId="16" fillId="0" borderId="0" xfId="3" applyFont="1" applyAlignment="1">
      <alignment horizontal="left"/>
    </xf>
    <xf numFmtId="165" fontId="11" fillId="0" borderId="0" xfId="3" applyFont="1" applyAlignment="1">
      <alignment horizontal="left" vertical="center" wrapText="1"/>
    </xf>
    <xf numFmtId="165" fontId="12" fillId="0" borderId="0" xfId="3" applyFont="1" applyAlignment="1">
      <alignment horizontal="left" vertical="center" wrapText="1"/>
    </xf>
    <xf numFmtId="165" fontId="0" fillId="0" borderId="0" xfId="3" applyFont="1" applyAlignment="1">
      <alignment horizontal="left" vertical="center" wrapText="1"/>
    </xf>
    <xf numFmtId="165" fontId="30" fillId="3" borderId="1" xfId="3" applyFont="1" applyFill="1" applyBorder="1" applyAlignment="1">
      <alignment horizontal="left" vertical="center"/>
    </xf>
    <xf numFmtId="165" fontId="6" fillId="0" borderId="0" xfId="3" applyFont="1" applyAlignment="1">
      <alignment horizontal="left" vertical="center" wrapText="1"/>
    </xf>
    <xf numFmtId="165" fontId="9" fillId="55" borderId="14" xfId="3" applyFont="1" applyFill="1" applyBorder="1" applyAlignment="1">
      <alignment horizontal="left" vertical="center" wrapText="1"/>
    </xf>
    <xf numFmtId="165" fontId="9" fillId="0" borderId="0" xfId="3" applyFont="1" applyAlignment="1">
      <alignment horizontal="left"/>
    </xf>
    <xf numFmtId="165" fontId="68" fillId="5" borderId="0" xfId="3" applyFont="1" applyFill="1" applyAlignment="1">
      <alignment horizontal="left" wrapText="1"/>
    </xf>
    <xf numFmtId="165" fontId="11" fillId="17" borderId="1" xfId="3" applyFont="1" applyFill="1" applyBorder="1" applyAlignment="1">
      <alignment horizontal="left" vertical="center" wrapText="1"/>
    </xf>
    <xf numFmtId="165" fontId="13" fillId="4" borderId="1" xfId="3" applyFont="1" applyFill="1" applyBorder="1" applyAlignment="1">
      <alignment horizontal="left" vertical="center" wrapText="1"/>
    </xf>
    <xf numFmtId="165" fontId="120" fillId="18" borderId="1" xfId="3" applyFont="1" applyFill="1" applyBorder="1" applyAlignment="1" applyProtection="1">
      <alignment horizontal="left"/>
      <protection locked="0"/>
    </xf>
    <xf numFmtId="165" fontId="16" fillId="3" borderId="1" xfId="3" applyFont="1" applyFill="1" applyBorder="1" applyAlignment="1">
      <alignment horizontal="left" vertical="center" wrapText="1"/>
    </xf>
    <xf numFmtId="165" fontId="69" fillId="3" borderId="96" xfId="3" applyFont="1" applyFill="1" applyBorder="1" applyAlignment="1">
      <alignment horizontal="left"/>
    </xf>
    <xf numFmtId="165" fontId="69" fillId="3" borderId="97" xfId="3" applyFont="1" applyFill="1" applyBorder="1" applyAlignment="1">
      <alignment horizontal="left"/>
    </xf>
    <xf numFmtId="165" fontId="9" fillId="4" borderId="14" xfId="3" applyFont="1" applyFill="1" applyBorder="1" applyAlignment="1">
      <alignment horizontal="left" vertical="center"/>
    </xf>
    <xf numFmtId="165" fontId="23" fillId="3" borderId="7" xfId="3" applyFont="1" applyFill="1" applyBorder="1" applyAlignment="1">
      <alignment horizontal="left" vertical="center" wrapText="1"/>
    </xf>
    <xf numFmtId="165" fontId="23" fillId="4" borderId="7" xfId="3" applyFont="1" applyFill="1" applyBorder="1" applyAlignment="1">
      <alignment horizontal="left" vertical="center" wrapText="1"/>
    </xf>
    <xf numFmtId="165" fontId="107" fillId="0" borderId="0" xfId="3" applyFont="1" applyAlignment="1">
      <alignment horizontal="left"/>
    </xf>
    <xf numFmtId="165" fontId="98" fillId="0" borderId="0" xfId="3" applyFont="1" applyAlignment="1">
      <alignment horizontal="left" wrapText="1"/>
    </xf>
    <xf numFmtId="165" fontId="84" fillId="0" borderId="0" xfId="3" applyFont="1" applyAlignment="1">
      <alignment horizontal="left"/>
    </xf>
    <xf numFmtId="165" fontId="84" fillId="0" borderId="0" xfId="3" applyFont="1" applyAlignment="1">
      <alignment horizontal="left" vertical="center"/>
    </xf>
    <xf numFmtId="165" fontId="1" fillId="2" borderId="1" xfId="3" applyFont="1" applyFill="1" applyBorder="1" applyAlignment="1" applyProtection="1">
      <alignment horizontal="left" vertical="center" wrapText="1"/>
      <protection locked="0"/>
    </xf>
    <xf numFmtId="165" fontId="23" fillId="3" borderId="97" xfId="3" applyFont="1" applyFill="1" applyBorder="1" applyAlignment="1">
      <alignment horizontal="left" vertical="center" wrapText="1"/>
    </xf>
    <xf numFmtId="165" fontId="94" fillId="0" borderId="0" xfId="3" applyFont="1" applyAlignment="1" applyProtection="1">
      <alignment horizontal="left"/>
    </xf>
    <xf numFmtId="165" fontId="79" fillId="0" borderId="0" xfId="3" applyFont="1" applyAlignment="1">
      <alignment horizontal="left"/>
    </xf>
    <xf numFmtId="165" fontId="99" fillId="0" borderId="0" xfId="3" applyFont="1" applyAlignment="1">
      <alignment horizontal="left"/>
    </xf>
    <xf numFmtId="165" fontId="99" fillId="0" borderId="0" xfId="3" applyFont="1" applyAlignment="1">
      <alignment horizontal="left" wrapText="1"/>
    </xf>
    <xf numFmtId="165" fontId="99" fillId="0" borderId="0" xfId="3" applyFont="1" applyAlignment="1">
      <alignment horizontal="left" vertical="center"/>
    </xf>
    <xf numFmtId="165" fontId="106" fillId="0" borderId="0" xfId="3" applyFont="1" applyAlignment="1">
      <alignment horizontal="left"/>
    </xf>
    <xf numFmtId="165" fontId="106" fillId="0" borderId="0" xfId="3" applyFont="1" applyAlignment="1">
      <alignment horizontal="left" vertical="center"/>
    </xf>
    <xf numFmtId="165" fontId="109" fillId="0" borderId="0" xfId="3" applyFont="1" applyAlignment="1">
      <alignment horizontal="left"/>
    </xf>
    <xf numFmtId="165" fontId="23" fillId="70" borderId="1" xfId="3" applyFont="1" applyFill="1" applyBorder="1" applyAlignment="1" applyProtection="1">
      <alignment horizontal="left" vertical="center" wrapText="1"/>
    </xf>
    <xf numFmtId="165" fontId="8" fillId="3" borderId="97" xfId="3" applyFont="1" applyFill="1" applyBorder="1" applyAlignment="1">
      <alignment horizontal="left" vertical="center"/>
    </xf>
    <xf numFmtId="165" fontId="8" fillId="0" borderId="0" xfId="3" applyFont="1" applyAlignment="1" applyProtection="1">
      <alignment horizontal="left"/>
    </xf>
    <xf numFmtId="165" fontId="104" fillId="9" borderId="5" xfId="3" applyFont="1" applyFill="1" applyBorder="1" applyAlignment="1" applyProtection="1">
      <alignment horizontal="left" vertical="center" wrapText="1"/>
    </xf>
    <xf numFmtId="165" fontId="20" fillId="0" borderId="0" xfId="3" applyFont="1" applyAlignment="1" applyProtection="1">
      <alignment horizontal="left"/>
    </xf>
    <xf numFmtId="165" fontId="107" fillId="0" borderId="0" xfId="3" applyFont="1" applyAlignment="1">
      <alignment horizontal="left" vertical="center"/>
    </xf>
    <xf numFmtId="165" fontId="15" fillId="0" borderId="0" xfId="3" applyFont="1" applyAlignment="1">
      <alignment horizontal="left"/>
    </xf>
    <xf numFmtId="165" fontId="13" fillId="3" borderId="7" xfId="3" applyFont="1" applyFill="1" applyBorder="1" applyAlignment="1">
      <alignment horizontal="left" vertical="center" wrapText="1"/>
    </xf>
    <xf numFmtId="165" fontId="13" fillId="4" borderId="7" xfId="3" applyFont="1" applyFill="1" applyBorder="1" applyAlignment="1">
      <alignment horizontal="left" vertical="center" wrapText="1"/>
    </xf>
    <xf numFmtId="165" fontId="13" fillId="0" borderId="0" xfId="3" applyFont="1" applyAlignment="1">
      <alignment horizontal="left" vertical="center" wrapText="1"/>
    </xf>
    <xf numFmtId="165" fontId="16" fillId="0" borderId="0" xfId="3" applyFont="1" applyAlignment="1">
      <alignment horizontal="left" vertical="center"/>
    </xf>
    <xf numFmtId="165" fontId="15" fillId="0" borderId="0" xfId="3" applyFont="1" applyAlignment="1">
      <alignment horizontal="left" vertical="center" wrapText="1"/>
    </xf>
    <xf numFmtId="165" fontId="72" fillId="0" borderId="38" xfId="3" applyFont="1" applyBorder="1" applyAlignment="1">
      <alignment horizontal="left" wrapText="1"/>
    </xf>
    <xf numFmtId="190" fontId="1" fillId="3" borderId="7" xfId="3" applyNumberFormat="1" applyFont="1" applyFill="1" applyBorder="1" applyAlignment="1">
      <alignment horizontal="left"/>
    </xf>
    <xf numFmtId="165" fontId="62" fillId="0" borderId="0" xfId="3" applyFont="1" applyAlignment="1">
      <alignment horizontal="left"/>
    </xf>
    <xf numFmtId="165" fontId="23" fillId="73" borderId="1" xfId="3" applyFont="1" applyFill="1" applyBorder="1" applyAlignment="1">
      <alignment horizontal="left" vertical="center" wrapText="1"/>
    </xf>
    <xf numFmtId="165" fontId="23" fillId="73" borderId="2" xfId="3" applyFont="1" applyFill="1" applyBorder="1" applyAlignment="1">
      <alignment horizontal="left" vertical="center" wrapText="1"/>
    </xf>
    <xf numFmtId="165" fontId="1" fillId="77" borderId="3" xfId="3" applyFont="1" applyFill="1" applyBorder="1" applyAlignment="1" applyProtection="1">
      <alignment horizontal="left"/>
      <protection locked="0"/>
    </xf>
    <xf numFmtId="165" fontId="8" fillId="8" borderId="1" xfId="3" applyFont="1" applyFill="1" applyBorder="1" applyAlignment="1">
      <alignment horizontal="left"/>
    </xf>
    <xf numFmtId="165" fontId="8" fillId="8" borderId="2" xfId="3" applyFont="1" applyFill="1" applyBorder="1" applyAlignment="1">
      <alignment horizontal="left"/>
    </xf>
    <xf numFmtId="165" fontId="1" fillId="62" borderId="1" xfId="3" applyFont="1" applyFill="1" applyBorder="1" applyAlignment="1" applyProtection="1">
      <alignment horizontal="left"/>
      <protection locked="0"/>
    </xf>
    <xf numFmtId="165" fontId="8" fillId="8" borderId="6" xfId="3" applyFont="1" applyFill="1" applyBorder="1" applyAlignment="1">
      <alignment horizontal="left"/>
    </xf>
    <xf numFmtId="165" fontId="8" fillId="3" borderId="195" xfId="3" applyFont="1" applyFill="1" applyBorder="1" applyAlignment="1">
      <alignment horizontal="left"/>
    </xf>
    <xf numFmtId="165" fontId="8" fillId="3" borderId="14" xfId="3" applyFont="1" applyFill="1" applyBorder="1" applyAlignment="1">
      <alignment horizontal="left"/>
    </xf>
    <xf numFmtId="165" fontId="25" fillId="0" borderId="38" xfId="3" applyFont="1" applyBorder="1" applyAlignment="1">
      <alignment horizontal="left" wrapText="1"/>
    </xf>
    <xf numFmtId="165" fontId="23" fillId="73" borderId="95" xfId="3" applyFont="1" applyFill="1" applyBorder="1" applyAlignment="1">
      <alignment horizontal="left" vertical="center" wrapText="1"/>
    </xf>
    <xf numFmtId="165" fontId="8" fillId="3" borderId="97" xfId="3" applyFont="1" applyFill="1" applyBorder="1" applyAlignment="1" applyProtection="1">
      <alignment horizontal="left"/>
    </xf>
    <xf numFmtId="165" fontId="1" fillId="3" borderId="2" xfId="3" applyFont="1" applyFill="1" applyBorder="1" applyAlignment="1">
      <alignment horizontal="left" vertical="center"/>
    </xf>
    <xf numFmtId="165" fontId="8" fillId="0" borderId="1" xfId="3" applyFont="1" applyBorder="1" applyAlignment="1">
      <alignment horizontal="left" vertical="center" wrapText="1"/>
    </xf>
    <xf numFmtId="165" fontId="8" fillId="3" borderId="1" xfId="3" applyFont="1" applyFill="1" applyBorder="1" applyAlignment="1">
      <alignment horizontal="left" vertical="center" wrapText="1"/>
    </xf>
    <xf numFmtId="165" fontId="8" fillId="3" borderId="1" xfId="3" applyFont="1" applyFill="1" applyBorder="1" applyAlignment="1">
      <alignment horizontal="left"/>
    </xf>
    <xf numFmtId="165" fontId="8" fillId="4" borderId="23" xfId="3" applyFont="1" applyFill="1" applyBorder="1" applyAlignment="1">
      <alignment horizontal="left" vertical="center" wrapText="1"/>
    </xf>
    <xf numFmtId="165" fontId="8" fillId="4" borderId="22" xfId="3" applyFont="1" applyFill="1" applyBorder="1" applyAlignment="1">
      <alignment horizontal="left" vertical="center" wrapText="1"/>
    </xf>
    <xf numFmtId="165" fontId="8" fillId="4" borderId="40" xfId="3" applyFont="1" applyFill="1" applyBorder="1" applyAlignment="1">
      <alignment horizontal="left" vertical="center" wrapText="1"/>
    </xf>
    <xf numFmtId="165" fontId="8" fillId="3" borderId="39" xfId="3" applyFont="1" applyFill="1" applyBorder="1" applyAlignment="1">
      <alignment horizontal="left" vertical="center" wrapText="1"/>
    </xf>
    <xf numFmtId="165" fontId="8" fillId="3" borderId="53" xfId="3" applyFont="1" applyFill="1" applyBorder="1" applyAlignment="1">
      <alignment horizontal="left" vertical="center" wrapText="1"/>
    </xf>
    <xf numFmtId="165" fontId="8" fillId="3" borderId="43" xfId="3" applyFont="1" applyFill="1" applyBorder="1" applyAlignment="1">
      <alignment horizontal="left" vertical="center"/>
    </xf>
    <xf numFmtId="165" fontId="8" fillId="3" borderId="44" xfId="3" applyFont="1" applyFill="1" applyBorder="1" applyAlignment="1">
      <alignment horizontal="left" vertical="center"/>
    </xf>
    <xf numFmtId="0" fontId="9" fillId="4" borderId="14" xfId="0" applyFont="1" applyFill="1" applyBorder="1" applyAlignment="1">
      <alignment vertical="center" wrapText="1"/>
    </xf>
    <xf numFmtId="0" fontId="23" fillId="0" borderId="8" xfId="0" applyFont="1" applyBorder="1" applyAlignment="1">
      <alignment vertical="center" wrapText="1"/>
    </xf>
    <xf numFmtId="0" fontId="23" fillId="2" borderId="7" xfId="0" applyFont="1" applyFill="1" applyBorder="1" applyAlignment="1">
      <alignment vertical="center" wrapText="1"/>
    </xf>
    <xf numFmtId="0" fontId="23" fillId="0" borderId="10" xfId="0" applyFont="1" applyBorder="1" applyAlignment="1">
      <alignment vertical="center" wrapText="1"/>
    </xf>
    <xf numFmtId="0" fontId="8" fillId="3" borderId="7" xfId="0" applyFont="1" applyFill="1" applyBorder="1" applyAlignment="1">
      <alignment vertical="center" wrapText="1"/>
    </xf>
    <xf numFmtId="0" fontId="9" fillId="4" borderId="1" xfId="0" applyFont="1" applyFill="1" applyBorder="1" applyAlignment="1">
      <alignment vertical="center" wrapText="1"/>
    </xf>
    <xf numFmtId="168" fontId="8" fillId="3" borderId="1" xfId="0" applyNumberFormat="1" applyFont="1" applyFill="1" applyBorder="1" applyAlignment="1">
      <alignment vertical="center"/>
    </xf>
    <xf numFmtId="0" fontId="20" fillId="0" borderId="0" xfId="0" applyFont="1"/>
    <xf numFmtId="4" fontId="98" fillId="0" borderId="0" xfId="0" applyNumberFormat="1" applyFont="1" applyAlignment="1">
      <alignment vertical="center" wrapText="1"/>
    </xf>
    <xf numFmtId="0" fontId="8" fillId="4" borderId="1" xfId="0" applyFont="1" applyFill="1" applyBorder="1" applyAlignment="1">
      <alignment vertical="center"/>
    </xf>
    <xf numFmtId="0" fontId="8" fillId="4" borderId="1" xfId="0" applyFont="1" applyFill="1" applyBorder="1" applyAlignment="1">
      <alignment vertical="center" wrapText="1"/>
    </xf>
    <xf numFmtId="0" fontId="8" fillId="4" borderId="2" xfId="0" applyFont="1" applyFill="1" applyBorder="1" applyAlignment="1">
      <alignment vertical="center" wrapText="1"/>
    </xf>
    <xf numFmtId="0" fontId="8" fillId="4" borderId="95" xfId="0" applyFont="1" applyFill="1" applyBorder="1" applyAlignment="1">
      <alignment vertical="center" wrapText="1"/>
    </xf>
    <xf numFmtId="0" fontId="1" fillId="0" borderId="0" xfId="0" applyFont="1" applyAlignment="1">
      <alignment vertical="center" wrapText="1"/>
    </xf>
    <xf numFmtId="0" fontId="1" fillId="2" borderId="7" xfId="0" applyFont="1" applyFill="1" applyBorder="1" applyProtection="1">
      <protection locked="0"/>
    </xf>
    <xf numFmtId="0" fontId="1" fillId="2" borderId="1" xfId="0" applyFont="1" applyFill="1" applyBorder="1" applyProtection="1">
      <protection locked="0"/>
    </xf>
    <xf numFmtId="167" fontId="1" fillId="2" borderId="1" xfId="3" applyNumberFormat="1" applyFont="1" applyFill="1" applyBorder="1" applyAlignment="1" applyProtection="1">
      <protection locked="0"/>
    </xf>
    <xf numFmtId="167" fontId="1" fillId="3" borderId="1" xfId="3" applyNumberFormat="1" applyFont="1" applyFill="1" applyBorder="1" applyAlignment="1" applyProtection="1"/>
    <xf numFmtId="168" fontId="1" fillId="3" borderId="1" xfId="3" applyNumberFormat="1" applyFont="1" applyFill="1" applyBorder="1" applyAlignment="1" applyProtection="1"/>
    <xf numFmtId="168" fontId="1" fillId="3" borderId="1" xfId="0" applyNumberFormat="1" applyFont="1" applyFill="1" applyBorder="1"/>
    <xf numFmtId="174" fontId="1" fillId="2" borderId="101" xfId="6" applyNumberFormat="1" applyFont="1" applyFill="1" applyBorder="1" applyAlignment="1" applyProtection="1"/>
    <xf numFmtId="168" fontId="8" fillId="3" borderId="102" xfId="3" applyNumberFormat="1" applyFont="1" applyFill="1" applyBorder="1" applyAlignment="1" applyProtection="1"/>
    <xf numFmtId="168" fontId="8" fillId="3" borderId="103" xfId="3" applyNumberFormat="1" applyFont="1" applyFill="1" applyBorder="1" applyAlignment="1" applyProtection="1"/>
    <xf numFmtId="0" fontId="98" fillId="0" borderId="0" xfId="0" applyFont="1"/>
    <xf numFmtId="167" fontId="1" fillId="13" borderId="1" xfId="3" applyNumberFormat="1" applyFont="1" applyFill="1" applyBorder="1" applyAlignment="1" applyProtection="1"/>
    <xf numFmtId="178" fontId="1" fillId="13" borderId="1" xfId="0" applyNumberFormat="1" applyFont="1" applyFill="1" applyBorder="1"/>
    <xf numFmtId="0" fontId="1" fillId="13" borderId="3" xfId="0" applyFont="1" applyFill="1" applyBorder="1"/>
    <xf numFmtId="165" fontId="1" fillId="13" borderId="2" xfId="3" applyFont="1" applyFill="1" applyBorder="1" applyAlignment="1" applyProtection="1"/>
    <xf numFmtId="9" fontId="1" fillId="9" borderId="2" xfId="3" applyNumberFormat="1" applyFont="1" applyFill="1" applyBorder="1" applyAlignment="1" applyProtection="1"/>
    <xf numFmtId="167" fontId="1" fillId="14" borderId="1" xfId="3" applyNumberFormat="1" applyFont="1" applyFill="1" applyBorder="1" applyAlignment="1" applyProtection="1"/>
    <xf numFmtId="168" fontId="1" fillId="14" borderId="1" xfId="3" applyNumberFormat="1" applyFont="1" applyFill="1" applyBorder="1" applyAlignment="1" applyProtection="1"/>
    <xf numFmtId="168" fontId="1" fillId="14" borderId="1" xfId="0" applyNumberFormat="1" applyFont="1" applyFill="1" applyBorder="1"/>
    <xf numFmtId="0" fontId="1" fillId="9" borderId="0" xfId="0" applyFont="1" applyFill="1"/>
    <xf numFmtId="9" fontId="1" fillId="64" borderId="57" xfId="0" applyNumberFormat="1" applyFont="1" applyFill="1" applyBorder="1"/>
    <xf numFmtId="168" fontId="1" fillId="64" borderId="57" xfId="3" applyNumberFormat="1" applyFont="1" applyFill="1" applyBorder="1" applyAlignment="1" applyProtection="1"/>
    <xf numFmtId="0" fontId="1" fillId="0" borderId="57" xfId="0" applyFont="1" applyBorder="1"/>
    <xf numFmtId="167" fontId="1" fillId="0" borderId="0" xfId="0" applyNumberFormat="1" applyFont="1"/>
    <xf numFmtId="0" fontId="1" fillId="66" borderId="1" xfId="0" applyFont="1" applyFill="1" applyBorder="1"/>
    <xf numFmtId="167" fontId="1" fillId="66" borderId="1" xfId="0" applyNumberFormat="1" applyFont="1" applyFill="1" applyBorder="1"/>
    <xf numFmtId="167" fontId="1" fillId="66" borderId="7" xfId="0" applyNumberFormat="1" applyFont="1" applyFill="1" applyBorder="1"/>
    <xf numFmtId="168" fontId="8" fillId="9" borderId="1" xfId="3" applyNumberFormat="1" applyFont="1" applyFill="1" applyBorder="1" applyAlignment="1" applyProtection="1"/>
    <xf numFmtId="165" fontId="40" fillId="52" borderId="1" xfId="0" applyNumberFormat="1" applyFont="1" applyFill="1" applyBorder="1" applyAlignment="1">
      <alignment horizontal="right"/>
    </xf>
    <xf numFmtId="172" fontId="219" fillId="113" borderId="57" xfId="0" applyNumberFormat="1" applyFont="1" applyFill="1" applyBorder="1" applyAlignment="1">
      <alignment horizontal="right"/>
    </xf>
    <xf numFmtId="191" fontId="219" fillId="112" borderId="57" xfId="0" applyNumberFormat="1" applyFont="1" applyFill="1" applyBorder="1" applyAlignment="1">
      <alignment horizontal="right"/>
    </xf>
    <xf numFmtId="0" fontId="222" fillId="5" borderId="0" xfId="0" applyFont="1" applyFill="1"/>
    <xf numFmtId="167" fontId="132" fillId="5" borderId="0" xfId="77" applyNumberFormat="1" applyFont="1" applyFill="1" applyBorder="1" applyAlignment="1" applyProtection="1">
      <alignment horizontal="left" vertical="center" wrapText="1"/>
    </xf>
    <xf numFmtId="0" fontId="138" fillId="5" borderId="0" xfId="0" applyFont="1" applyFill="1" applyAlignment="1">
      <alignment horizontal="center" vertical="center"/>
    </xf>
    <xf numFmtId="0" fontId="132" fillId="5" borderId="0" xfId="0" applyFont="1" applyFill="1" applyAlignment="1">
      <alignment horizontal="center" wrapText="1"/>
    </xf>
    <xf numFmtId="0" fontId="132" fillId="5" borderId="209" xfId="0" applyFont="1" applyFill="1" applyBorder="1" applyAlignment="1">
      <alignment horizontal="center" vertical="center" wrapText="1"/>
    </xf>
    <xf numFmtId="0" fontId="132" fillId="5" borderId="46" xfId="0" applyFont="1" applyFill="1" applyBorder="1" applyAlignment="1">
      <alignment horizontal="center" vertical="center" wrapText="1"/>
    </xf>
    <xf numFmtId="0" fontId="147" fillId="5" borderId="212" xfId="0" applyFont="1" applyFill="1" applyBorder="1" applyAlignment="1">
      <alignment horizontal="left" vertical="top" wrapText="1" indent="1"/>
    </xf>
    <xf numFmtId="167" fontId="138" fillId="5" borderId="113" xfId="77" applyNumberFormat="1" applyFont="1" applyFill="1" applyBorder="1" applyAlignment="1" applyProtection="1">
      <alignment horizontal="center" vertical="center" wrapText="1"/>
    </xf>
    <xf numFmtId="0" fontId="134" fillId="71" borderId="170" xfId="0" applyFont="1" applyFill="1" applyBorder="1" applyAlignment="1">
      <alignment horizontal="center" vertical="center" wrapText="1"/>
    </xf>
    <xf numFmtId="0" fontId="134" fillId="71" borderId="69" xfId="0" applyFont="1" applyFill="1" applyBorder="1" applyAlignment="1">
      <alignment horizontal="center" vertical="center" wrapText="1"/>
    </xf>
    <xf numFmtId="0" fontId="159" fillId="71" borderId="68" xfId="0" applyFont="1" applyFill="1" applyBorder="1" applyAlignment="1">
      <alignment horizontal="left" vertical="center" wrapText="1" indent="1"/>
    </xf>
    <xf numFmtId="0" fontId="134" fillId="86" borderId="106" xfId="0" applyFont="1" applyFill="1" applyBorder="1" applyAlignment="1">
      <alignment horizontal="center" vertical="center" wrapText="1"/>
    </xf>
    <xf numFmtId="0" fontId="134" fillId="86" borderId="74" xfId="0" applyFont="1" applyFill="1" applyBorder="1" applyAlignment="1">
      <alignment horizontal="center" vertical="center" wrapText="1"/>
    </xf>
    <xf numFmtId="0" fontId="159" fillId="86" borderId="62" xfId="0" applyFont="1" applyFill="1" applyBorder="1" applyAlignment="1">
      <alignment horizontal="left" vertical="center" wrapText="1" indent="1"/>
    </xf>
    <xf numFmtId="0" fontId="138" fillId="87" borderId="220" xfId="0" applyFont="1" applyFill="1" applyBorder="1" applyAlignment="1">
      <alignment horizontal="center" vertical="center" wrapText="1"/>
    </xf>
    <xf numFmtId="0" fontId="138" fillId="87" borderId="221" xfId="0" applyFont="1" applyFill="1" applyBorder="1" applyAlignment="1">
      <alignment horizontal="center" vertical="center" wrapText="1"/>
    </xf>
    <xf numFmtId="0" fontId="138" fillId="87" borderId="222" xfId="0" applyFont="1" applyFill="1" applyBorder="1" applyAlignment="1">
      <alignment horizontal="center" vertical="center" wrapText="1"/>
    </xf>
    <xf numFmtId="9" fontId="132" fillId="83" borderId="137" xfId="6" applyFont="1" applyFill="1" applyBorder="1" applyAlignment="1" applyProtection="1">
      <alignment wrapText="1"/>
      <protection locked="0"/>
    </xf>
    <xf numFmtId="167" fontId="132" fillId="83" borderId="137" xfId="77" applyNumberFormat="1" applyFont="1" applyFill="1" applyBorder="1" applyAlignment="1" applyProtection="1">
      <alignment vertical="center" wrapText="1"/>
      <protection locked="0"/>
    </xf>
    <xf numFmtId="9" fontId="222" fillId="116" borderId="1" xfId="6" applyFont="1" applyFill="1" applyBorder="1" applyAlignment="1" applyProtection="1">
      <alignment horizontal="center" vertical="center" wrapText="1"/>
      <protection locked="0"/>
    </xf>
    <xf numFmtId="9" fontId="152" fillId="117" borderId="1" xfId="6" applyFont="1" applyFill="1" applyBorder="1" applyAlignment="1" applyProtection="1">
      <alignment horizontal="center" vertical="center" wrapText="1"/>
      <protection locked="0"/>
    </xf>
    <xf numFmtId="0" fontId="138" fillId="95" borderId="21" xfId="0" applyFont="1" applyFill="1" applyBorder="1" applyAlignment="1">
      <alignment vertical="center" wrapText="1"/>
    </xf>
    <xf numFmtId="0" fontId="132" fillId="0" borderId="227" xfId="0" applyFont="1" applyBorder="1" applyAlignment="1">
      <alignment vertical="top" wrapText="1"/>
    </xf>
    <xf numFmtId="0" fontId="132" fillId="0" borderId="228" xfId="0" applyFont="1" applyBorder="1" applyAlignment="1">
      <alignment vertical="top" wrapText="1"/>
    </xf>
    <xf numFmtId="0" fontId="132" fillId="0" borderId="229" xfId="0" applyFont="1" applyBorder="1" applyAlignment="1">
      <alignment vertical="top" wrapText="1"/>
    </xf>
    <xf numFmtId="0" fontId="132" fillId="0" borderId="230" xfId="0" applyFont="1" applyBorder="1" applyAlignment="1">
      <alignment vertical="top" wrapText="1"/>
    </xf>
    <xf numFmtId="0" fontId="132" fillId="0" borderId="231" xfId="0" applyFont="1" applyBorder="1" applyAlignment="1">
      <alignment vertical="top" wrapText="1"/>
    </xf>
    <xf numFmtId="0" fontId="132" fillId="0" borderId="232" xfId="0" applyFont="1" applyBorder="1" applyAlignment="1">
      <alignment vertical="top" wrapText="1"/>
    </xf>
    <xf numFmtId="0" fontId="132" fillId="0" borderId="233" xfId="0" applyFont="1" applyBorder="1" applyAlignment="1">
      <alignment vertical="top" wrapText="1"/>
    </xf>
    <xf numFmtId="0" fontId="132" fillId="0" borderId="234" xfId="0" applyFont="1" applyBorder="1" applyAlignment="1">
      <alignment vertical="top" wrapText="1"/>
    </xf>
    <xf numFmtId="0" fontId="132" fillId="0" borderId="235" xfId="0" applyFont="1" applyBorder="1" applyAlignment="1">
      <alignment vertical="top" wrapText="1"/>
    </xf>
    <xf numFmtId="0" fontId="138" fillId="5" borderId="0" xfId="0" applyFont="1" applyFill="1" applyAlignment="1">
      <alignment horizontal="center" vertical="center" wrapText="1"/>
    </xf>
    <xf numFmtId="0" fontId="138" fillId="85" borderId="236"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6" xfId="0" applyFont="1" applyFill="1" applyBorder="1" applyAlignment="1">
      <alignment horizontal="center" vertical="center" wrapText="1"/>
    </xf>
    <xf numFmtId="0" fontId="134" fillId="71" borderId="106" xfId="0" applyFont="1" applyFill="1" applyBorder="1" applyAlignment="1">
      <alignment horizontal="center" vertical="center" wrapText="1"/>
    </xf>
    <xf numFmtId="0" fontId="134" fillId="71" borderId="74" xfId="0" applyFont="1" applyFill="1" applyBorder="1" applyAlignment="1">
      <alignment horizontal="center" vertical="center" wrapText="1"/>
    </xf>
    <xf numFmtId="0" fontId="226" fillId="84" borderId="106" xfId="0" applyFont="1" applyFill="1" applyBorder="1" applyAlignment="1">
      <alignment horizontal="center" vertical="center" wrapText="1"/>
    </xf>
    <xf numFmtId="0" fontId="226" fillId="84" borderId="74" xfId="0" applyFont="1" applyFill="1" applyBorder="1" applyAlignment="1">
      <alignment horizontal="center" vertical="center" wrapText="1"/>
    </xf>
    <xf numFmtId="0" fontId="227" fillId="84" borderId="62" xfId="0" applyFont="1" applyFill="1" applyBorder="1" applyAlignment="1">
      <alignment horizontal="left" vertical="center" wrapText="1" indent="1"/>
    </xf>
    <xf numFmtId="0" fontId="132" fillId="0" borderId="242" xfId="0" applyFont="1" applyBorder="1" applyAlignment="1">
      <alignment vertical="top" wrapText="1"/>
    </xf>
    <xf numFmtId="0" fontId="132" fillId="0" borderId="0" xfId="0" applyFont="1" applyAlignment="1">
      <alignment vertical="top" wrapText="1"/>
    </xf>
    <xf numFmtId="0" fontId="132" fillId="0" borderId="243" xfId="0" applyFont="1" applyBorder="1" applyAlignment="1">
      <alignment vertical="top" wrapText="1"/>
    </xf>
    <xf numFmtId="11" fontId="0" fillId="0" borderId="0" xfId="0" applyNumberFormat="1"/>
    <xf numFmtId="0" fontId="228" fillId="0" borderId="0" xfId="0" applyFont="1" applyAlignment="1">
      <alignment vertical="center" wrapText="1"/>
    </xf>
    <xf numFmtId="0" fontId="6" fillId="0" borderId="1" xfId="0" applyFont="1" applyBorder="1"/>
    <xf numFmtId="0" fontId="0" fillId="9" borderId="1" xfId="0" applyFill="1" applyBorder="1"/>
    <xf numFmtId="0" fontId="8" fillId="9" borderId="2" xfId="0" applyFont="1" applyFill="1" applyBorder="1"/>
    <xf numFmtId="0" fontId="123" fillId="9" borderId="34" xfId="0" applyFont="1" applyFill="1" applyBorder="1" applyAlignment="1">
      <alignment horizontal="center" vertical="center" wrapText="1"/>
    </xf>
    <xf numFmtId="0" fontId="78" fillId="9" borderId="1" xfId="0" applyFont="1" applyFill="1" applyBorder="1"/>
    <xf numFmtId="0" fontId="78" fillId="9" borderId="43" xfId="0" applyFont="1" applyFill="1" applyBorder="1"/>
    <xf numFmtId="0" fontId="0" fillId="9" borderId="1" xfId="0" applyFill="1" applyBorder="1" applyAlignment="1">
      <alignment wrapText="1"/>
    </xf>
    <xf numFmtId="0" fontId="0" fillId="9" borderId="43" xfId="0" applyFill="1" applyBorder="1" applyAlignment="1">
      <alignment wrapText="1"/>
    </xf>
    <xf numFmtId="192" fontId="213" fillId="5" borderId="1" xfId="0" applyNumberFormat="1" applyFont="1" applyFill="1" applyBorder="1"/>
    <xf numFmtId="16" fontId="0" fillId="0" borderId="0" xfId="0" applyNumberFormat="1"/>
    <xf numFmtId="3" fontId="0" fillId="0" borderId="0" xfId="0" applyNumberFormat="1"/>
    <xf numFmtId="0" fontId="4" fillId="7" borderId="13" xfId="0" applyFont="1" applyFill="1" applyBorder="1" applyAlignment="1">
      <alignment horizontal="left"/>
    </xf>
    <xf numFmtId="0" fontId="3" fillId="54" borderId="2" xfId="0" applyFont="1" applyFill="1" applyBorder="1" applyAlignment="1">
      <alignment vertical="center" wrapText="1"/>
    </xf>
    <xf numFmtId="192" fontId="213" fillId="5" borderId="4" xfId="0" applyNumberFormat="1" applyFont="1" applyFill="1" applyBorder="1"/>
    <xf numFmtId="0" fontId="0" fillId="0" borderId="38" xfId="0" applyBorder="1"/>
    <xf numFmtId="0" fontId="0" fillId="0" borderId="12" xfId="0" applyBorder="1"/>
    <xf numFmtId="0" fontId="2" fillId="0" borderId="0" xfId="1" applyBorder="1"/>
    <xf numFmtId="0" fontId="0" fillId="0" borderId="8" xfId="0" applyBorder="1"/>
    <xf numFmtId="0" fontId="0" fillId="0" borderId="10" xfId="0" applyBorder="1"/>
    <xf numFmtId="0" fontId="0" fillId="0" borderId="0" xfId="0" applyAlignment="1">
      <alignment horizontal="left" vertical="center" wrapText="1"/>
    </xf>
    <xf numFmtId="0" fontId="230" fillId="0" borderId="0" xfId="0" applyFont="1" applyAlignment="1">
      <alignment vertical="center" wrapText="1"/>
    </xf>
    <xf numFmtId="11" fontId="231" fillId="0" borderId="0" xfId="0" applyNumberFormat="1" applyFont="1"/>
    <xf numFmtId="0" fontId="0" fillId="0" borderId="12" xfId="0" applyBorder="1" applyAlignment="1">
      <alignment horizontal="left" vertical="top" wrapText="1"/>
    </xf>
    <xf numFmtId="0" fontId="9" fillId="9" borderId="0" xfId="0" applyFont="1" applyFill="1"/>
    <xf numFmtId="0" fontId="6" fillId="72" borderId="60" xfId="0" applyFont="1" applyFill="1" applyBorder="1" applyAlignment="1">
      <alignment horizontal="left" vertical="top"/>
    </xf>
    <xf numFmtId="0" fontId="39" fillId="71" borderId="62" xfId="0" applyFont="1" applyFill="1" applyBorder="1" applyAlignment="1">
      <alignment horizontal="center"/>
    </xf>
    <xf numFmtId="0" fontId="39" fillId="71" borderId="74" xfId="0" applyFont="1" applyFill="1" applyBorder="1" applyAlignment="1">
      <alignment horizontal="center"/>
    </xf>
    <xf numFmtId="0" fontId="39" fillId="71" borderId="60" xfId="0" applyFont="1" applyFill="1" applyBorder="1" applyAlignment="1">
      <alignment horizontal="center"/>
    </xf>
    <xf numFmtId="0" fontId="6" fillId="72" borderId="74" xfId="0" applyFont="1" applyFill="1" applyBorder="1" applyAlignment="1">
      <alignment horizontal="left" vertical="top"/>
    </xf>
    <xf numFmtId="0" fontId="13" fillId="72" borderId="79" xfId="0" applyFont="1" applyFill="1" applyBorder="1" applyAlignment="1">
      <alignment horizontal="left" vertical="top"/>
    </xf>
    <xf numFmtId="0" fontId="13" fillId="72" borderId="80" xfId="0" applyFont="1" applyFill="1" applyBorder="1" applyAlignment="1">
      <alignment horizontal="left" vertical="top"/>
    </xf>
    <xf numFmtId="0" fontId="9" fillId="117" borderId="0" xfId="0" applyFont="1" applyFill="1" applyAlignment="1">
      <alignment vertical="center"/>
    </xf>
    <xf numFmtId="0" fontId="0" fillId="117" borderId="0" xfId="0" applyFill="1"/>
    <xf numFmtId="0" fontId="0" fillId="117" borderId="38" xfId="0" applyFill="1" applyBorder="1"/>
    <xf numFmtId="0" fontId="0" fillId="117" borderId="59" xfId="0" applyFill="1" applyBorder="1"/>
    <xf numFmtId="0" fontId="0" fillId="117" borderId="13" xfId="0" applyFill="1" applyBorder="1"/>
    <xf numFmtId="0" fontId="0" fillId="117" borderId="10" xfId="0" applyFill="1" applyBorder="1"/>
    <xf numFmtId="0" fontId="0" fillId="117" borderId="9" xfId="0" applyFill="1" applyBorder="1"/>
    <xf numFmtId="0" fontId="1" fillId="117" borderId="0" xfId="0" applyFont="1" applyFill="1"/>
    <xf numFmtId="9" fontId="0" fillId="117" borderId="0" xfId="6" applyFont="1" applyFill="1" applyBorder="1"/>
    <xf numFmtId="0" fontId="17" fillId="117" borderId="0" xfId="0" applyFont="1" applyFill="1"/>
    <xf numFmtId="0" fontId="6" fillId="117" borderId="0" xfId="0" applyFont="1" applyFill="1"/>
    <xf numFmtId="0" fontId="0" fillId="0" borderId="33" xfId="0" applyBorder="1" applyAlignment="1">
      <alignment horizontal="center" vertical="center" wrapText="1"/>
    </xf>
    <xf numFmtId="0" fontId="211" fillId="105" borderId="0" xfId="0" applyFont="1" applyFill="1" applyAlignment="1">
      <alignment horizontal="center" vertical="center" wrapText="1"/>
    </xf>
    <xf numFmtId="49" fontId="0" fillId="0" borderId="0" xfId="0" applyNumberFormat="1" applyAlignment="1">
      <alignment wrapText="1"/>
    </xf>
    <xf numFmtId="0" fontId="4" fillId="7" borderId="54" xfId="0" applyFont="1" applyFill="1" applyBorder="1" applyAlignment="1">
      <alignment horizontal="center" vertical="top"/>
    </xf>
    <xf numFmtId="0" fontId="4" fillId="7" borderId="55" xfId="0" applyFont="1" applyFill="1" applyBorder="1" applyAlignment="1">
      <alignment horizontal="center" vertical="top" wrapText="1"/>
    </xf>
    <xf numFmtId="0" fontId="4" fillId="7" borderId="56" xfId="0" applyFont="1" applyFill="1" applyBorder="1" applyAlignment="1">
      <alignment horizontal="center" vertical="top" wrapText="1"/>
    </xf>
    <xf numFmtId="0" fontId="82" fillId="54" borderId="0" xfId="0" applyFont="1" applyFill="1"/>
    <xf numFmtId="0" fontId="3" fillId="54" borderId="0" xfId="0" applyFont="1" applyFill="1" applyAlignment="1">
      <alignment horizontal="center" vertical="center" wrapText="1"/>
    </xf>
    <xf numFmtId="165" fontId="3" fillId="5" borderId="0" xfId="3" applyFont="1" applyFill="1"/>
    <xf numFmtId="11" fontId="3" fillId="5" borderId="0" xfId="0" applyNumberFormat="1" applyFont="1" applyFill="1"/>
    <xf numFmtId="0" fontId="3" fillId="54" borderId="0" xfId="0" applyFont="1" applyFill="1" applyAlignment="1">
      <alignment horizontal="center" vertical="center"/>
    </xf>
    <xf numFmtId="0" fontId="4" fillId="54" borderId="0" xfId="0" applyFont="1" applyFill="1"/>
    <xf numFmtId="0" fontId="3" fillId="5" borderId="0" xfId="0" applyFont="1" applyFill="1"/>
    <xf numFmtId="0" fontId="3" fillId="54" borderId="0" xfId="0" applyFont="1" applyFill="1"/>
    <xf numFmtId="0" fontId="3" fillId="101" borderId="39" xfId="0" applyFont="1" applyFill="1" applyBorder="1" applyAlignment="1">
      <alignment vertical="center" wrapText="1"/>
    </xf>
    <xf numFmtId="165" fontId="3" fillId="101" borderId="1" xfId="3" applyFont="1" applyFill="1" applyBorder="1" applyAlignment="1">
      <alignment vertical="center"/>
    </xf>
    <xf numFmtId="0" fontId="3" fillId="101" borderId="41" xfId="0" applyFont="1" applyFill="1" applyBorder="1" applyAlignment="1">
      <alignment horizontal="center"/>
    </xf>
    <xf numFmtId="0" fontId="3" fillId="0" borderId="39" xfId="0" applyFont="1" applyBorder="1" applyAlignment="1">
      <alignment vertical="center" wrapText="1"/>
    </xf>
    <xf numFmtId="165" fontId="232" fillId="5" borderId="0" xfId="1" applyNumberFormat="1" applyFont="1" applyFill="1" applyAlignment="1" applyProtection="1"/>
    <xf numFmtId="0" fontId="3" fillId="54" borderId="53" xfId="0" applyFont="1" applyFill="1" applyBorder="1" applyAlignment="1">
      <alignment vertical="center" wrapText="1"/>
    </xf>
    <xf numFmtId="165" fontId="3" fillId="0" borderId="43" xfId="3" applyFont="1" applyFill="1" applyBorder="1" applyAlignment="1">
      <alignment vertical="center"/>
    </xf>
    <xf numFmtId="0" fontId="233" fillId="54" borderId="0" xfId="0" applyFont="1" applyFill="1" applyAlignment="1">
      <alignment vertical="center"/>
    </xf>
    <xf numFmtId="0" fontId="3" fillId="54" borderId="0" xfId="0" applyFont="1" applyFill="1" applyAlignment="1">
      <alignment vertical="center"/>
    </xf>
    <xf numFmtId="0" fontId="3" fillId="5" borderId="0" xfId="0" applyFont="1" applyFill="1" applyAlignment="1">
      <alignment vertical="center"/>
    </xf>
    <xf numFmtId="0" fontId="234" fillId="54" borderId="0" xfId="0" applyFont="1" applyFill="1" applyAlignment="1">
      <alignment horizontal="left" wrapText="1"/>
    </xf>
    <xf numFmtId="0" fontId="235" fillId="54" borderId="0" xfId="1" applyFont="1" applyFill="1" applyAlignment="1" applyProtection="1"/>
    <xf numFmtId="0" fontId="234" fillId="0" borderId="0" xfId="0" applyFont="1" applyAlignment="1">
      <alignment horizontal="left" vertical="top" wrapText="1"/>
    </xf>
    <xf numFmtId="0" fontId="234" fillId="54" borderId="0" xfId="0" applyFont="1" applyFill="1" applyAlignment="1">
      <alignment horizontal="left"/>
    </xf>
    <xf numFmtId="0" fontId="0" fillId="92" borderId="0" xfId="0" applyFill="1"/>
    <xf numFmtId="0" fontId="0" fillId="0" borderId="0" xfId="0" applyAlignment="1">
      <alignment horizontal="center" textRotation="90"/>
    </xf>
    <xf numFmtId="0" fontId="0" fillId="0" borderId="0" xfId="0" applyAlignment="1">
      <alignment textRotation="90"/>
    </xf>
    <xf numFmtId="0" fontId="6" fillId="5" borderId="0" xfId="0" applyFont="1" applyFill="1" applyAlignment="1">
      <alignment horizontal="center" vertical="center" wrapText="1"/>
    </xf>
    <xf numFmtId="0" fontId="0" fillId="5" borderId="0" xfId="0" applyFill="1" applyAlignment="1">
      <alignment vertical="top" wrapText="1"/>
    </xf>
    <xf numFmtId="0" fontId="0" fillId="5" borderId="0" xfId="0" applyFill="1" applyAlignment="1">
      <alignment vertical="center" wrapText="1"/>
    </xf>
    <xf numFmtId="0" fontId="0" fillId="5" borderId="0" xfId="0" applyFill="1" applyAlignment="1">
      <alignment horizontal="center" vertical="center" wrapText="1"/>
    </xf>
    <xf numFmtId="0" fontId="229" fillId="5" borderId="0" xfId="0" applyFont="1" applyFill="1" applyAlignment="1">
      <alignment horizontal="center" vertical="center"/>
    </xf>
    <xf numFmtId="0" fontId="0" fillId="0" borderId="0" xfId="0" applyAlignment="1">
      <alignment textRotation="90" wrapText="1"/>
    </xf>
    <xf numFmtId="0" fontId="6" fillId="58" borderId="1" xfId="0" applyFont="1" applyFill="1" applyBorder="1"/>
    <xf numFmtId="0" fontId="0" fillId="7" borderId="1" xfId="0" applyFill="1" applyBorder="1"/>
    <xf numFmtId="0" fontId="0" fillId="5" borderId="1" xfId="0" applyFill="1" applyBorder="1"/>
    <xf numFmtId="0" fontId="0" fillId="0" borderId="11" xfId="0" applyBorder="1"/>
    <xf numFmtId="0" fontId="168" fillId="0" borderId="244" xfId="0" applyFont="1" applyBorder="1" applyAlignment="1">
      <alignment horizontal="center" vertical="center" wrapText="1"/>
    </xf>
    <xf numFmtId="0" fontId="6" fillId="0" borderId="12" xfId="0" applyFont="1" applyBorder="1"/>
    <xf numFmtId="0" fontId="0" fillId="0" borderId="13" xfId="0" applyBorder="1"/>
    <xf numFmtId="0" fontId="168" fillId="0" borderId="245" xfId="0" applyFont="1" applyBorder="1" applyAlignment="1">
      <alignment horizontal="center" vertical="center" wrapText="1"/>
    </xf>
    <xf numFmtId="0" fontId="168" fillId="5" borderId="0" xfId="0" applyFont="1" applyFill="1"/>
    <xf numFmtId="0" fontId="168" fillId="5" borderId="0" xfId="0" applyFont="1" applyFill="1" applyAlignment="1">
      <alignment wrapText="1"/>
    </xf>
    <xf numFmtId="0" fontId="168" fillId="118" borderId="0" xfId="0" applyFont="1" applyFill="1" applyAlignment="1">
      <alignment horizontal="left" vertical="center"/>
    </xf>
    <xf numFmtId="0" fontId="168" fillId="118" borderId="0" xfId="0" applyFont="1" applyFill="1" applyAlignment="1">
      <alignment vertical="center"/>
    </xf>
    <xf numFmtId="0" fontId="168" fillId="118" borderId="0" xfId="0" applyFont="1" applyFill="1" applyAlignment="1">
      <alignment vertical="center" wrapText="1"/>
    </xf>
    <xf numFmtId="0" fontId="168" fillId="118" borderId="0" xfId="0" applyFont="1" applyFill="1"/>
    <xf numFmtId="0" fontId="168" fillId="5" borderId="0" xfId="0" applyFont="1" applyFill="1" applyAlignment="1">
      <alignment horizontal="center" vertical="center" wrapText="1"/>
    </xf>
    <xf numFmtId="0" fontId="168" fillId="118" borderId="0" xfId="0" applyFont="1" applyFill="1" applyAlignment="1">
      <alignment wrapText="1"/>
    </xf>
    <xf numFmtId="0" fontId="168" fillId="118" borderId="0" xfId="0" applyFont="1" applyFill="1" applyAlignment="1">
      <alignment horizontal="center" vertical="center"/>
    </xf>
    <xf numFmtId="0" fontId="168" fillId="119" borderId="0" xfId="0" applyFont="1" applyFill="1" applyAlignment="1">
      <alignment horizontal="center"/>
    </xf>
    <xf numFmtId="11" fontId="1" fillId="5" borderId="1" xfId="0" applyNumberFormat="1" applyFont="1" applyFill="1" applyBorder="1"/>
    <xf numFmtId="0" fontId="125" fillId="5" borderId="0" xfId="0" applyFont="1" applyFill="1" applyAlignment="1">
      <alignment horizontal="center" vertical="center" wrapText="1"/>
    </xf>
    <xf numFmtId="0" fontId="45" fillId="5" borderId="0" xfId="1" applyFont="1" applyFill="1" applyBorder="1" applyAlignment="1">
      <alignment vertical="center"/>
    </xf>
    <xf numFmtId="0" fontId="46" fillId="5" borderId="0" xfId="0" applyFont="1" applyFill="1" applyAlignment="1">
      <alignment horizontal="center"/>
    </xf>
    <xf numFmtId="0" fontId="46" fillId="5" borderId="38" xfId="0" applyFont="1" applyFill="1" applyBorder="1" applyAlignment="1">
      <alignment horizontal="center"/>
    </xf>
    <xf numFmtId="0" fontId="237" fillId="0" borderId="0" xfId="1" applyFont="1"/>
    <xf numFmtId="0" fontId="3" fillId="54" borderId="0" xfId="0" applyFont="1" applyFill="1" applyAlignment="1">
      <alignment vertical="center" wrapText="1"/>
    </xf>
    <xf numFmtId="193" fontId="213" fillId="5" borderId="1" xfId="0" applyNumberFormat="1" applyFont="1" applyFill="1" applyBorder="1"/>
    <xf numFmtId="193" fontId="213" fillId="5" borderId="4" xfId="0" applyNumberFormat="1" applyFont="1" applyFill="1" applyBorder="1"/>
    <xf numFmtId="14" fontId="3" fillId="0" borderId="0" xfId="0" applyNumberFormat="1" applyFont="1" applyAlignment="1">
      <alignment vertical="center" wrapText="1"/>
    </xf>
    <xf numFmtId="165" fontId="3" fillId="5" borderId="7" xfId="3" applyFont="1" applyFill="1" applyBorder="1" applyAlignment="1">
      <alignment vertical="center"/>
    </xf>
    <xf numFmtId="165" fontId="3" fillId="5" borderId="1" xfId="3" applyFont="1" applyFill="1" applyBorder="1" applyAlignment="1">
      <alignment vertical="center"/>
    </xf>
    <xf numFmtId="165" fontId="3" fillId="5" borderId="5" xfId="3" applyFont="1" applyFill="1" applyBorder="1" applyAlignment="1">
      <alignment vertical="center"/>
    </xf>
    <xf numFmtId="0" fontId="0" fillId="120" borderId="0" xfId="0" applyFill="1"/>
    <xf numFmtId="0" fontId="1" fillId="120" borderId="0" xfId="0" applyFont="1" applyFill="1" applyAlignment="1">
      <alignment horizontal="left"/>
    </xf>
    <xf numFmtId="0" fontId="1" fillId="4" borderId="5" xfId="0" applyFont="1" applyFill="1" applyBorder="1" applyAlignment="1">
      <alignment horizontal="left"/>
    </xf>
    <xf numFmtId="0" fontId="1" fillId="0" borderId="5" xfId="0" applyFont="1" applyBorder="1" applyAlignment="1">
      <alignment wrapText="1"/>
    </xf>
    <xf numFmtId="0" fontId="1" fillId="0" borderId="5" xfId="0" applyFont="1" applyBorder="1"/>
    <xf numFmtId="11" fontId="1" fillId="5" borderId="0" xfId="0" applyNumberFormat="1" applyFont="1" applyFill="1"/>
    <xf numFmtId="0" fontId="1" fillId="5" borderId="0" xfId="0" applyFont="1" applyFill="1" applyAlignment="1">
      <alignment wrapText="1"/>
    </xf>
    <xf numFmtId="0" fontId="1" fillId="92" borderId="0" xfId="0" applyFont="1" applyFill="1" applyAlignment="1">
      <alignment horizontal="left"/>
    </xf>
    <xf numFmtId="0" fontId="238" fillId="0" borderId="0" xfId="0" applyFont="1"/>
    <xf numFmtId="0" fontId="0" fillId="5" borderId="1" xfId="0" applyFill="1" applyBorder="1" applyAlignment="1">
      <alignment horizontal="left"/>
    </xf>
    <xf numFmtId="0" fontId="6" fillId="5" borderId="1" xfId="0" applyFont="1" applyFill="1" applyBorder="1" applyAlignment="1">
      <alignment horizontal="center" vertical="center"/>
    </xf>
    <xf numFmtId="0" fontId="0" fillId="5" borderId="1" xfId="0" applyFill="1" applyBorder="1" applyAlignment="1">
      <alignment horizontal="left" vertical="center"/>
    </xf>
    <xf numFmtId="4" fontId="0" fillId="5" borderId="1" xfId="0" applyNumberFormat="1" applyFill="1" applyBorder="1"/>
    <xf numFmtId="165" fontId="23" fillId="5" borderId="3" xfId="3" applyFont="1" applyFill="1" applyBorder="1" applyAlignment="1" applyProtection="1">
      <alignment horizontal="left" vertical="center" wrapText="1"/>
    </xf>
    <xf numFmtId="165" fontId="1" fillId="5" borderId="2" xfId="3" applyFont="1" applyFill="1" applyBorder="1" applyAlignment="1" applyProtection="1">
      <alignment horizontal="left"/>
      <protection locked="0"/>
    </xf>
    <xf numFmtId="165" fontId="1" fillId="5" borderId="96" xfId="3" applyFont="1" applyFill="1" applyBorder="1" applyAlignment="1" applyProtection="1">
      <alignment horizontal="left"/>
    </xf>
    <xf numFmtId="165" fontId="1" fillId="5" borderId="97" xfId="3" applyFont="1" applyFill="1" applyBorder="1" applyAlignment="1" applyProtection="1">
      <alignment horizontal="left"/>
    </xf>
    <xf numFmtId="165" fontId="23" fillId="5" borderId="39" xfId="3" applyFont="1" applyFill="1" applyBorder="1" applyAlignment="1">
      <alignment horizontal="left" vertical="center" wrapText="1"/>
    </xf>
    <xf numFmtId="165" fontId="1" fillId="5" borderId="41" xfId="3" applyFont="1" applyFill="1" applyBorder="1" applyAlignment="1" applyProtection="1">
      <alignment horizontal="left"/>
    </xf>
    <xf numFmtId="165" fontId="23" fillId="5" borderId="0" xfId="3" applyFont="1" applyFill="1" applyBorder="1" applyAlignment="1" applyProtection="1">
      <alignment horizontal="left" vertical="center" wrapText="1"/>
    </xf>
    <xf numFmtId="165" fontId="1" fillId="5" borderId="0" xfId="3" applyFont="1" applyFill="1" applyBorder="1" applyAlignment="1" applyProtection="1">
      <alignment horizontal="left"/>
      <protection locked="0"/>
    </xf>
    <xf numFmtId="165" fontId="23" fillId="5" borderId="53" xfId="3" applyFont="1" applyFill="1" applyBorder="1" applyAlignment="1">
      <alignment horizontal="left" vertical="center" wrapText="1"/>
    </xf>
    <xf numFmtId="165" fontId="1" fillId="5" borderId="44" xfId="3" applyFont="1" applyFill="1" applyBorder="1" applyAlignment="1" applyProtection="1">
      <alignment horizontal="left"/>
    </xf>
    <xf numFmtId="0" fontId="0" fillId="89" borderId="0" xfId="0" applyFill="1"/>
    <xf numFmtId="0" fontId="6" fillId="89" borderId="0" xfId="0" applyFont="1" applyFill="1" applyAlignment="1">
      <alignment horizontal="center" vertical="center" wrapText="1"/>
    </xf>
    <xf numFmtId="0" fontId="1" fillId="89" borderId="0" xfId="0" applyFont="1" applyFill="1"/>
    <xf numFmtId="0" fontId="6" fillId="103" borderId="33" xfId="0" applyFont="1" applyFill="1" applyBorder="1" applyAlignment="1">
      <alignment horizontal="center" vertical="center" wrapText="1"/>
    </xf>
    <xf numFmtId="11" fontId="1" fillId="0" borderId="0" xfId="0" applyNumberFormat="1" applyFont="1"/>
    <xf numFmtId="0" fontId="6" fillId="0" borderId="12" xfId="0" applyFont="1" applyBorder="1" applyAlignment="1">
      <alignment wrapText="1"/>
    </xf>
    <xf numFmtId="0" fontId="0" fillId="0" borderId="5" xfId="0" applyBorder="1" applyAlignment="1">
      <alignment wrapText="1"/>
    </xf>
    <xf numFmtId="0" fontId="16" fillId="0" borderId="5" xfId="0" applyFont="1" applyBorder="1" applyAlignment="1">
      <alignment wrapText="1"/>
    </xf>
    <xf numFmtId="0" fontId="183" fillId="0" borderId="100" xfId="0" applyFont="1" applyBorder="1"/>
    <xf numFmtId="0" fontId="1" fillId="4" borderId="0" xfId="0" applyFont="1" applyFill="1" applyAlignment="1">
      <alignment horizontal="left"/>
    </xf>
    <xf numFmtId="11" fontId="1" fillId="0" borderId="0" xfId="0" applyNumberFormat="1" applyFont="1" applyAlignment="1">
      <alignment horizontal="left"/>
    </xf>
    <xf numFmtId="0" fontId="168" fillId="121" borderId="244" xfId="0" applyFont="1" applyFill="1" applyBorder="1" applyAlignment="1">
      <alignment horizontal="center" vertical="center" wrapText="1"/>
    </xf>
    <xf numFmtId="0" fontId="123" fillId="5" borderId="34" xfId="0" applyFont="1" applyFill="1" applyBorder="1" applyAlignment="1">
      <alignment horizontal="center" vertical="center" wrapText="1"/>
    </xf>
    <xf numFmtId="194" fontId="213" fillId="5" borderId="1" xfId="0" applyNumberFormat="1" applyFont="1" applyFill="1" applyBorder="1"/>
    <xf numFmtId="165" fontId="16" fillId="122" borderId="0" xfId="3" applyFont="1" applyFill="1" applyAlignment="1">
      <alignment horizontal="left"/>
    </xf>
    <xf numFmtId="165" fontId="25" fillId="2" borderId="5" xfId="3" applyFont="1" applyFill="1" applyBorder="1" applyAlignment="1" applyProtection="1">
      <alignment vertical="top"/>
      <protection locked="0"/>
    </xf>
    <xf numFmtId="165" fontId="25" fillId="2" borderId="11" xfId="3" applyFont="1" applyFill="1" applyBorder="1" applyAlignment="1" applyProtection="1">
      <alignment vertical="top"/>
      <protection locked="0"/>
    </xf>
    <xf numFmtId="165" fontId="25" fillId="2" borderId="7" xfId="3" applyFont="1" applyFill="1" applyBorder="1" applyAlignment="1" applyProtection="1">
      <alignment vertical="top"/>
      <protection locked="0"/>
    </xf>
    <xf numFmtId="165" fontId="25" fillId="2" borderId="5" xfId="3" applyFont="1" applyFill="1" applyBorder="1" applyAlignment="1" applyProtection="1">
      <alignment vertical="center"/>
      <protection locked="0"/>
    </xf>
    <xf numFmtId="165" fontId="25" fillId="2" borderId="11" xfId="3" applyFont="1" applyFill="1" applyBorder="1" applyAlignment="1" applyProtection="1">
      <alignment vertical="center"/>
      <protection locked="0"/>
    </xf>
    <xf numFmtId="165" fontId="25" fillId="2" borderId="7" xfId="3" applyFont="1" applyFill="1" applyBorder="1" applyAlignment="1" applyProtection="1">
      <alignment vertical="center"/>
      <protection locked="0"/>
    </xf>
    <xf numFmtId="9" fontId="23" fillId="2" borderId="1" xfId="6" applyFont="1" applyFill="1" applyBorder="1" applyAlignment="1" applyProtection="1">
      <alignment horizontal="left" vertical="center" wrapText="1"/>
      <protection locked="0"/>
    </xf>
    <xf numFmtId="9" fontId="50" fillId="2" borderId="1" xfId="6" applyFont="1" applyFill="1" applyBorder="1" applyAlignment="1" applyProtection="1">
      <alignment horizontal="left" vertical="center" wrapText="1"/>
      <protection locked="0"/>
    </xf>
    <xf numFmtId="165" fontId="96" fillId="2" borderId="5" xfId="3" applyFont="1" applyFill="1" applyBorder="1" applyAlignment="1" applyProtection="1">
      <alignment vertical="center"/>
      <protection locked="0"/>
    </xf>
    <xf numFmtId="174" fontId="23" fillId="2" borderId="1" xfId="6" applyNumberFormat="1" applyFont="1" applyFill="1" applyBorder="1" applyAlignment="1" applyProtection="1">
      <alignment horizontal="left" vertical="center" wrapText="1"/>
      <protection locked="0"/>
    </xf>
    <xf numFmtId="165" fontId="96" fillId="2" borderId="1" xfId="3" applyFont="1" applyFill="1" applyBorder="1" applyAlignment="1" applyProtection="1">
      <alignment horizontal="left" vertical="center"/>
      <protection locked="0"/>
    </xf>
    <xf numFmtId="165" fontId="96" fillId="2" borderId="1" xfId="3" applyFont="1" applyFill="1" applyBorder="1" applyAlignment="1">
      <alignment horizontal="left"/>
    </xf>
    <xf numFmtId="165" fontId="96" fillId="2" borderId="2" xfId="3" applyFont="1" applyFill="1" applyBorder="1" applyAlignment="1">
      <alignment horizontal="left"/>
    </xf>
    <xf numFmtId="9" fontId="1" fillId="2" borderId="1" xfId="6" applyFont="1" applyFill="1" applyBorder="1" applyAlignment="1" applyProtection="1">
      <alignment horizontal="left" vertical="center"/>
      <protection locked="0"/>
    </xf>
    <xf numFmtId="0" fontId="6" fillId="5" borderId="0" xfId="0" applyFont="1" applyFill="1" applyAlignment="1">
      <alignment horizontal="left" vertical="top"/>
    </xf>
    <xf numFmtId="0" fontId="13" fillId="5" borderId="0" xfId="0" applyFont="1" applyFill="1" applyAlignment="1">
      <alignment horizontal="left" vertical="top"/>
    </xf>
    <xf numFmtId="0" fontId="0" fillId="5" borderId="0" xfId="0" applyFill="1" applyAlignment="1">
      <alignment horizontal="left" vertical="top"/>
    </xf>
    <xf numFmtId="173" fontId="16" fillId="5" borderId="0" xfId="0" applyNumberFormat="1" applyFont="1" applyFill="1" applyAlignment="1">
      <alignment horizontal="right" vertical="top"/>
    </xf>
    <xf numFmtId="181" fontId="16" fillId="5" borderId="0" xfId="0" applyNumberFormat="1" applyFont="1" applyFill="1" applyAlignment="1">
      <alignment horizontal="right" vertical="top"/>
    </xf>
    <xf numFmtId="169" fontId="16" fillId="5" borderId="0" xfId="0" applyNumberFormat="1" applyFont="1" applyFill="1" applyAlignment="1">
      <alignment horizontal="right" vertical="top"/>
    </xf>
    <xf numFmtId="0" fontId="39" fillId="5" borderId="0" xfId="0" applyFont="1" applyFill="1"/>
    <xf numFmtId="0" fontId="0" fillId="5" borderId="0" xfId="0" applyFill="1" applyAlignment="1">
      <alignment vertical="top"/>
    </xf>
    <xf numFmtId="0" fontId="62" fillId="5" borderId="0" xfId="0" applyFont="1" applyFill="1" applyAlignment="1">
      <alignment vertical="top"/>
    </xf>
    <xf numFmtId="185" fontId="16" fillId="5" borderId="0" xfId="0" applyNumberFormat="1" applyFont="1" applyFill="1" applyAlignment="1">
      <alignment vertical="top"/>
    </xf>
    <xf numFmtId="0" fontId="16" fillId="5" borderId="0" xfId="0" applyFont="1" applyFill="1" applyAlignment="1">
      <alignment vertical="top"/>
    </xf>
    <xf numFmtId="186" fontId="16" fillId="5" borderId="0" xfId="0" applyNumberFormat="1" applyFont="1" applyFill="1" applyAlignment="1">
      <alignment vertical="top"/>
    </xf>
    <xf numFmtId="187" fontId="16" fillId="5" borderId="0" xfId="0" applyNumberFormat="1" applyFont="1" applyFill="1" applyAlignment="1">
      <alignment vertical="top"/>
    </xf>
    <xf numFmtId="0" fontId="9" fillId="5" borderId="0" xfId="0" applyFont="1" applyFill="1" applyAlignment="1">
      <alignment vertical="center"/>
    </xf>
    <xf numFmtId="9" fontId="0" fillId="5" borderId="0" xfId="6" applyFont="1" applyFill="1" applyBorder="1"/>
    <xf numFmtId="0" fontId="17" fillId="5" borderId="0" xfId="0" applyFont="1" applyFill="1"/>
    <xf numFmtId="165" fontId="240" fillId="18" borderId="1" xfId="3" applyFont="1" applyFill="1" applyBorder="1" applyAlignment="1" applyProtection="1">
      <alignment horizontal="left"/>
      <protection locked="0"/>
    </xf>
    <xf numFmtId="195" fontId="1" fillId="2" borderId="101" xfId="6" applyNumberFormat="1" applyFont="1" applyFill="1" applyBorder="1" applyAlignment="1" applyProtection="1"/>
    <xf numFmtId="0" fontId="96" fillId="5" borderId="0" xfId="0" applyFont="1" applyFill="1"/>
    <xf numFmtId="0" fontId="185" fillId="5" borderId="0" xfId="0" applyFont="1" applyFill="1"/>
    <xf numFmtId="0" fontId="2" fillId="5" borderId="0" xfId="1" applyFill="1" applyBorder="1"/>
    <xf numFmtId="0" fontId="229" fillId="0" borderId="0" xfId="0" applyFont="1" applyAlignment="1">
      <alignment horizontal="center" vertical="center"/>
    </xf>
    <xf numFmtId="0" fontId="0" fillId="16" borderId="0" xfId="0" applyFill="1" applyAlignment="1">
      <alignment horizontal="left" vertical="center" wrapText="1"/>
    </xf>
    <xf numFmtId="0" fontId="78" fillId="5" borderId="33" xfId="0" applyFont="1" applyFill="1" applyBorder="1" applyAlignment="1">
      <alignment horizontal="center" vertical="center" wrapText="1"/>
    </xf>
    <xf numFmtId="0" fontId="0" fillId="5" borderId="1" xfId="0" applyFill="1" applyBorder="1" applyAlignment="1">
      <alignment vertical="center" wrapText="1"/>
    </xf>
    <xf numFmtId="0" fontId="78" fillId="5" borderId="1" xfId="0" applyFont="1" applyFill="1" applyBorder="1" applyAlignment="1">
      <alignment horizontal="center" vertical="center" wrapText="1"/>
    </xf>
    <xf numFmtId="0" fontId="0" fillId="4" borderId="0" xfId="0" applyFill="1" applyAlignment="1">
      <alignment horizontal="center" vertical="center" wrapText="1"/>
    </xf>
    <xf numFmtId="9" fontId="1" fillId="2" borderId="1" xfId="6" applyFont="1" applyFill="1" applyBorder="1" applyAlignment="1" applyProtection="1">
      <alignment horizontal="left"/>
      <protection locked="0"/>
    </xf>
    <xf numFmtId="0" fontId="46" fillId="123" borderId="2" xfId="0" applyFont="1" applyFill="1" applyBorder="1" applyAlignment="1">
      <alignment horizontal="center"/>
    </xf>
    <xf numFmtId="0" fontId="241" fillId="0" borderId="0" xfId="0" applyFont="1"/>
    <xf numFmtId="196" fontId="1" fillId="0" borderId="0" xfId="3" applyNumberFormat="1" applyFont="1" applyAlignment="1">
      <alignment horizontal="left"/>
    </xf>
    <xf numFmtId="0" fontId="0" fillId="5" borderId="34" xfId="0" applyFill="1" applyBorder="1" applyAlignment="1">
      <alignment horizontal="center" vertical="center" wrapText="1"/>
    </xf>
    <xf numFmtId="0" fontId="0" fillId="84" borderId="0" xfId="0" applyFill="1"/>
    <xf numFmtId="0" fontId="1" fillId="84" borderId="0" xfId="0" applyFont="1" applyFill="1"/>
    <xf numFmtId="9" fontId="0" fillId="84" borderId="0" xfId="6" applyFont="1" applyFill="1" applyBorder="1"/>
    <xf numFmtId="0" fontId="17" fillId="84" borderId="0" xfId="0" applyFont="1" applyFill="1"/>
    <xf numFmtId="0" fontId="6" fillId="84" borderId="0" xfId="0" applyFont="1" applyFill="1"/>
    <xf numFmtId="0" fontId="0" fillId="0" borderId="2" xfId="0" applyBorder="1" applyAlignment="1">
      <alignment horizontal="left" vertical="top" wrapText="1"/>
    </xf>
    <xf numFmtId="0" fontId="0" fillId="0" borderId="4" xfId="0" applyBorder="1" applyAlignment="1">
      <alignment horizontal="left" vertical="top" wrapText="1"/>
    </xf>
    <xf numFmtId="0" fontId="2" fillId="0" borderId="1" xfId="1" applyBorder="1"/>
    <xf numFmtId="0" fontId="78" fillId="5" borderId="34" xfId="0" applyFont="1" applyFill="1" applyBorder="1" applyAlignment="1">
      <alignment horizontal="center" vertical="top" wrapText="1"/>
    </xf>
    <xf numFmtId="165" fontId="8" fillId="0" borderId="0" xfId="3" applyFont="1" applyAlignment="1">
      <alignment horizontal="left" wrapText="1"/>
    </xf>
    <xf numFmtId="9" fontId="1" fillId="0" borderId="0" xfId="6" applyFont="1" applyAlignment="1">
      <alignment horizontal="left"/>
    </xf>
    <xf numFmtId="0" fontId="16" fillId="0" borderId="0" xfId="0" applyFont="1" applyAlignment="1">
      <alignment horizontal="left" vertical="top"/>
    </xf>
    <xf numFmtId="0" fontId="6" fillId="5" borderId="0" xfId="0" applyFont="1" applyFill="1" applyAlignment="1">
      <alignment vertical="center" wrapText="1"/>
    </xf>
    <xf numFmtId="0" fontId="6" fillId="70" borderId="48" xfId="0" applyFont="1" applyFill="1" applyBorder="1" applyAlignment="1">
      <alignment horizontal="center" vertical="center" wrapText="1"/>
    </xf>
    <xf numFmtId="0" fontId="6" fillId="70" borderId="46" xfId="0" applyFont="1" applyFill="1" applyBorder="1" applyAlignment="1">
      <alignment horizontal="center" vertical="center" wrapText="1"/>
    </xf>
    <xf numFmtId="0" fontId="0" fillId="5" borderId="46" xfId="0" applyFill="1" applyBorder="1" applyAlignment="1">
      <alignment horizontal="center" vertical="center" wrapText="1"/>
    </xf>
    <xf numFmtId="0" fontId="125" fillId="5" borderId="0" xfId="0" applyFont="1" applyFill="1" applyAlignment="1">
      <alignment vertical="center" wrapText="1"/>
    </xf>
    <xf numFmtId="0" fontId="0" fillId="5" borderId="38" xfId="0" applyFill="1" applyBorder="1" applyAlignment="1">
      <alignment vertical="center" wrapText="1"/>
    </xf>
    <xf numFmtId="0" fontId="0" fillId="5" borderId="38" xfId="0" applyFill="1" applyBorder="1" applyAlignment="1">
      <alignment horizontal="center" vertical="center" wrapText="1"/>
    </xf>
    <xf numFmtId="0" fontId="6" fillId="70" borderId="0" xfId="0" applyFont="1" applyFill="1" applyAlignment="1">
      <alignment horizontal="center" vertical="center" wrapText="1"/>
    </xf>
    <xf numFmtId="0" fontId="0" fillId="5" borderId="95" xfId="0" applyFill="1" applyBorder="1" applyAlignment="1">
      <alignment horizontal="center" vertical="center" wrapText="1"/>
    </xf>
    <xf numFmtId="0" fontId="0" fillId="5" borderId="96" xfId="0" applyFill="1" applyBorder="1" applyAlignment="1">
      <alignment horizontal="center" vertical="center" wrapText="1"/>
    </xf>
    <xf numFmtId="0" fontId="0" fillId="5" borderId="97" xfId="0" applyFill="1" applyBorder="1" applyAlignment="1">
      <alignment horizontal="center" vertical="center" wrapText="1"/>
    </xf>
    <xf numFmtId="0" fontId="0" fillId="5" borderId="14" xfId="0" applyFill="1" applyBorder="1" applyAlignment="1">
      <alignment horizontal="center" vertical="center" wrapText="1"/>
    </xf>
    <xf numFmtId="2" fontId="78" fillId="5" borderId="46" xfId="0" applyNumberFormat="1" applyFont="1" applyFill="1" applyBorder="1" applyAlignment="1">
      <alignment horizontal="center" vertical="center" wrapText="1"/>
    </xf>
    <xf numFmtId="0" fontId="206" fillId="5" borderId="0" xfId="0" applyFont="1" applyFill="1" applyAlignment="1">
      <alignment vertical="center"/>
    </xf>
    <xf numFmtId="0" fontId="78" fillId="5" borderId="0" xfId="0" applyFont="1" applyFill="1" applyAlignment="1">
      <alignment horizontal="center" vertical="center" wrapText="1"/>
    </xf>
    <xf numFmtId="0" fontId="78" fillId="5" borderId="0" xfId="0" applyFont="1" applyFill="1" applyAlignment="1">
      <alignment vertical="center" wrapText="1"/>
    </xf>
    <xf numFmtId="0" fontId="123" fillId="5" borderId="0" xfId="0" applyFont="1" applyFill="1" applyAlignment="1">
      <alignment horizontal="left" vertical="center" wrapText="1"/>
    </xf>
    <xf numFmtId="0" fontId="0" fillId="5" borderId="40" xfId="0" applyFill="1" applyBorder="1" applyAlignment="1">
      <alignment horizontal="center" vertical="center" wrapText="1"/>
    </xf>
    <xf numFmtId="0" fontId="0" fillId="5" borderId="246" xfId="0" applyFill="1" applyBorder="1" applyAlignment="1">
      <alignment vertical="center" wrapText="1"/>
    </xf>
    <xf numFmtId="0" fontId="78" fillId="5" borderId="176" xfId="0" applyFont="1" applyFill="1" applyBorder="1" applyAlignment="1">
      <alignment horizontal="center" vertical="center" wrapText="1"/>
    </xf>
    <xf numFmtId="2" fontId="78" fillId="5" borderId="9" xfId="0" applyNumberFormat="1" applyFont="1" applyFill="1" applyBorder="1" applyAlignment="1">
      <alignment horizontal="center" vertical="center" wrapText="1"/>
    </xf>
    <xf numFmtId="0" fontId="6" fillId="5" borderId="0" xfId="0" applyFont="1" applyFill="1" applyAlignment="1">
      <alignment vertical="center"/>
    </xf>
    <xf numFmtId="173" fontId="0" fillId="5" borderId="0" xfId="0" applyNumberFormat="1" applyFill="1" applyAlignment="1">
      <alignment horizontal="right" vertical="top"/>
    </xf>
    <xf numFmtId="169" fontId="16" fillId="5" borderId="61" xfId="0" applyNumberFormat="1" applyFont="1" applyFill="1" applyBorder="1" applyAlignment="1">
      <alignment horizontal="right" vertical="top"/>
    </xf>
    <xf numFmtId="0" fontId="16" fillId="5" borderId="62" xfId="0" applyFont="1" applyFill="1" applyBorder="1" applyAlignment="1">
      <alignment horizontal="left" vertical="top"/>
    </xf>
    <xf numFmtId="180" fontId="16" fillId="5" borderId="61" xfId="0" applyNumberFormat="1" applyFont="1" applyFill="1" applyBorder="1" applyAlignment="1">
      <alignment horizontal="right" vertical="top"/>
    </xf>
    <xf numFmtId="0" fontId="0" fillId="5" borderId="62" xfId="0" applyFill="1" applyBorder="1" applyAlignment="1">
      <alignment horizontal="left" vertical="top"/>
    </xf>
    <xf numFmtId="2" fontId="3" fillId="54" borderId="53" xfId="0" applyNumberFormat="1" applyFont="1" applyFill="1" applyBorder="1" applyAlignment="1">
      <alignment wrapText="1"/>
    </xf>
    <xf numFmtId="2" fontId="3" fillId="54" borderId="42" xfId="0" applyNumberFormat="1" applyFont="1" applyFill="1" applyBorder="1" applyAlignment="1">
      <alignment wrapText="1"/>
    </xf>
    <xf numFmtId="0" fontId="3" fillId="54" borderId="0" xfId="0" applyFont="1" applyFill="1" applyAlignment="1">
      <alignment wrapText="1"/>
    </xf>
    <xf numFmtId="11" fontId="3" fillId="54" borderId="0" xfId="0" applyNumberFormat="1" applyFont="1" applyFill="1" applyAlignment="1">
      <alignment wrapText="1"/>
    </xf>
    <xf numFmtId="0" fontId="6" fillId="0" borderId="0" xfId="0" applyFont="1" applyAlignment="1">
      <alignment vertical="center" wrapText="1"/>
    </xf>
    <xf numFmtId="0" fontId="6" fillId="0" borderId="0" xfId="0" applyFont="1" applyAlignment="1">
      <alignment horizontal="center" vertical="center" wrapText="1"/>
    </xf>
    <xf numFmtId="172" fontId="13" fillId="7" borderId="0" xfId="0" applyNumberFormat="1" applyFont="1" applyFill="1" applyAlignment="1">
      <alignment horizontal="center" vertical="center" wrapText="1"/>
    </xf>
    <xf numFmtId="172" fontId="6" fillId="7" borderId="0" xfId="0" applyNumberFormat="1" applyFont="1" applyFill="1" applyAlignment="1">
      <alignment horizontal="center" vertical="center" wrapText="1"/>
    </xf>
    <xf numFmtId="2" fontId="0" fillId="0" borderId="34" xfId="0" applyNumberFormat="1" applyBorder="1" applyAlignment="1">
      <alignment horizontal="center" vertical="center" wrapText="1"/>
    </xf>
    <xf numFmtId="178" fontId="0" fillId="0" borderId="34" xfId="0" applyNumberFormat="1" applyBorder="1" applyAlignment="1">
      <alignment horizontal="center" vertical="center" wrapText="1"/>
    </xf>
    <xf numFmtId="0" fontId="230" fillId="5" borderId="0" xfId="0" applyFont="1" applyFill="1" applyAlignment="1">
      <alignment vertical="center" wrapText="1"/>
    </xf>
    <xf numFmtId="11" fontId="0" fillId="5" borderId="0" xfId="0" applyNumberFormat="1" applyFill="1"/>
    <xf numFmtId="11" fontId="231" fillId="5" borderId="0" xfId="0" applyNumberFormat="1" applyFont="1" applyFill="1"/>
    <xf numFmtId="0" fontId="6" fillId="4" borderId="65" xfId="0" applyFont="1" applyFill="1" applyBorder="1" applyAlignment="1">
      <alignment vertical="top" wrapText="1"/>
    </xf>
    <xf numFmtId="0" fontId="6" fillId="4" borderId="67" xfId="0" applyFont="1" applyFill="1" applyBorder="1" applyAlignment="1">
      <alignment vertical="top" wrapText="1"/>
    </xf>
    <xf numFmtId="0" fontId="6" fillId="4" borderId="70" xfId="0" applyFont="1" applyFill="1" applyBorder="1" applyAlignment="1">
      <alignment vertical="top" wrapText="1"/>
    </xf>
    <xf numFmtId="173" fontId="16" fillId="75" borderId="0" xfId="0" applyNumberFormat="1" applyFont="1" applyFill="1" applyAlignment="1">
      <alignment horizontal="right" vertical="top"/>
    </xf>
    <xf numFmtId="173" fontId="16" fillId="0" borderId="0" xfId="0" applyNumberFormat="1" applyFont="1" applyAlignment="1">
      <alignment horizontal="right" vertical="top"/>
    </xf>
    <xf numFmtId="181" fontId="16" fillId="0" borderId="0" xfId="0" applyNumberFormat="1" applyFont="1" applyAlignment="1">
      <alignment horizontal="right" vertical="top"/>
    </xf>
    <xf numFmtId="0" fontId="16" fillId="0" borderId="0" xfId="0" applyFont="1" applyAlignment="1">
      <alignment horizontal="left" vertical="top" wrapText="1"/>
    </xf>
    <xf numFmtId="0" fontId="16" fillId="5" borderId="0" xfId="0" applyFont="1" applyFill="1" applyAlignment="1">
      <alignment horizontal="left" vertical="top"/>
    </xf>
    <xf numFmtId="0" fontId="6" fillId="5" borderId="0" xfId="0" applyFont="1" applyFill="1" applyAlignment="1">
      <alignment vertical="top"/>
    </xf>
    <xf numFmtId="0" fontId="16" fillId="5" borderId="0" xfId="0" applyFont="1" applyFill="1" applyAlignment="1">
      <alignment vertical="top" wrapText="1"/>
    </xf>
    <xf numFmtId="0" fontId="5" fillId="5" borderId="34" xfId="0" applyFont="1" applyFill="1" applyBorder="1" applyAlignment="1">
      <alignment horizontal="center" vertical="center" wrapText="1"/>
    </xf>
    <xf numFmtId="0" fontId="168" fillId="0" borderId="247" xfId="0" applyFont="1" applyBorder="1" applyAlignment="1">
      <alignment horizontal="center" wrapText="1"/>
    </xf>
    <xf numFmtId="0" fontId="168" fillId="121" borderId="247" xfId="0" applyFont="1" applyFill="1" applyBorder="1" applyAlignment="1">
      <alignment horizontal="center" wrapText="1"/>
    </xf>
    <xf numFmtId="0" fontId="13" fillId="72" borderId="215" xfId="0" applyFont="1" applyFill="1" applyBorder="1" applyAlignment="1">
      <alignment horizontal="left" vertical="top"/>
    </xf>
    <xf numFmtId="0" fontId="0" fillId="71" borderId="0" xfId="0" applyFill="1"/>
    <xf numFmtId="0" fontId="39" fillId="71" borderId="0" xfId="0" applyFont="1" applyFill="1"/>
    <xf numFmtId="165" fontId="0" fillId="71" borderId="0" xfId="3" applyFont="1" applyFill="1"/>
    <xf numFmtId="0" fontId="0" fillId="125" borderId="0" xfId="0" applyFill="1"/>
    <xf numFmtId="165" fontId="0" fillId="125" borderId="0" xfId="3" applyFont="1" applyFill="1"/>
    <xf numFmtId="0" fontId="0" fillId="126" borderId="0" xfId="0" applyFill="1"/>
    <xf numFmtId="165" fontId="0" fillId="126" borderId="0" xfId="3" applyFont="1" applyFill="1"/>
    <xf numFmtId="0" fontId="0" fillId="127" borderId="0" xfId="0" applyFill="1"/>
    <xf numFmtId="189" fontId="3" fillId="5" borderId="5" xfId="3" applyNumberFormat="1" applyFont="1" applyFill="1" applyBorder="1" applyAlignment="1">
      <alignment vertical="center"/>
    </xf>
    <xf numFmtId="0" fontId="4" fillId="7" borderId="248" xfId="0" applyFont="1" applyFill="1" applyBorder="1" applyAlignment="1">
      <alignment horizontal="left" wrapText="1"/>
    </xf>
    <xf numFmtId="0" fontId="123" fillId="5" borderId="94" xfId="0" applyFont="1" applyFill="1" applyBorder="1" applyAlignment="1">
      <alignment vertical="center" wrapText="1"/>
    </xf>
    <xf numFmtId="0" fontId="123" fillId="5" borderId="93" xfId="0" applyFont="1" applyFill="1" applyBorder="1" applyAlignment="1">
      <alignment horizontal="center" vertical="center" wrapText="1"/>
    </xf>
    <xf numFmtId="0" fontId="3" fillId="5" borderId="42" xfId="0" applyFont="1" applyFill="1" applyBorder="1" applyAlignment="1">
      <alignment vertical="center" wrapText="1"/>
    </xf>
    <xf numFmtId="0" fontId="3" fillId="5" borderId="194" xfId="0" applyFont="1" applyFill="1" applyBorder="1" applyAlignment="1">
      <alignment horizontal="center"/>
    </xf>
    <xf numFmtId="0" fontId="3" fillId="5" borderId="39" xfId="0" applyFont="1" applyFill="1" applyBorder="1" applyAlignment="1">
      <alignment vertical="center" wrapText="1"/>
    </xf>
    <xf numFmtId="0" fontId="3" fillId="5" borderId="41" xfId="0" applyFont="1" applyFill="1" applyBorder="1" applyAlignment="1">
      <alignment horizontal="center"/>
    </xf>
    <xf numFmtId="0" fontId="3" fillId="5" borderId="53" xfId="0" applyFont="1" applyFill="1" applyBorder="1" applyAlignment="1">
      <alignment vertical="center" wrapText="1"/>
    </xf>
    <xf numFmtId="165" fontId="3" fillId="5" borderId="43" xfId="3" applyFont="1" applyFill="1" applyBorder="1" applyAlignment="1">
      <alignment vertical="center"/>
    </xf>
    <xf numFmtId="2" fontId="8" fillId="0" borderId="1" xfId="0" applyNumberFormat="1" applyFont="1" applyBorder="1"/>
    <xf numFmtId="2" fontId="214" fillId="0" borderId="1" xfId="0" applyNumberFormat="1" applyFont="1" applyBorder="1"/>
    <xf numFmtId="0" fontId="1" fillId="4" borderId="1" xfId="0" applyFont="1" applyFill="1" applyBorder="1" applyAlignment="1">
      <alignment horizontal="left" vertical="center"/>
    </xf>
    <xf numFmtId="0" fontId="78" fillId="5" borderId="1" xfId="0" applyFont="1" applyFill="1" applyBorder="1"/>
    <xf numFmtId="0" fontId="78" fillId="5" borderId="43" xfId="0" applyFont="1" applyFill="1" applyBorder="1"/>
    <xf numFmtId="0" fontId="246" fillId="56" borderId="1" xfId="0" applyFont="1" applyFill="1" applyBorder="1" applyAlignment="1">
      <alignment horizontal="right" wrapText="1"/>
    </xf>
    <xf numFmtId="174" fontId="16" fillId="52" borderId="41" xfId="0" applyNumberFormat="1" applyFont="1" applyFill="1" applyBorder="1" applyAlignment="1">
      <alignment horizontal="right"/>
    </xf>
    <xf numFmtId="165" fontId="1" fillId="0" borderId="0" xfId="3" applyFont="1" applyBorder="1" applyAlignment="1">
      <alignment horizontal="left"/>
    </xf>
    <xf numFmtId="0" fontId="21" fillId="0" borderId="0" xfId="79" applyFont="1" applyAlignment="1">
      <alignment horizontal="center" vertical="center"/>
    </xf>
    <xf numFmtId="0" fontId="22" fillId="0" borderId="0" xfId="79" applyFont="1" applyAlignment="1">
      <alignment horizontal="center" vertical="center"/>
    </xf>
    <xf numFmtId="3" fontId="22" fillId="0" borderId="0" xfId="79" applyNumberFormat="1" applyFont="1" applyAlignment="1">
      <alignment horizontal="center"/>
    </xf>
    <xf numFmtId="165" fontId="1" fillId="11" borderId="2" xfId="3" applyFont="1" applyFill="1" applyBorder="1" applyAlignment="1">
      <alignment horizontal="left" vertical="center" wrapText="1"/>
    </xf>
    <xf numFmtId="165" fontId="121" fillId="19" borderId="2" xfId="3" applyFont="1" applyFill="1" applyBorder="1" applyAlignment="1" applyProtection="1">
      <alignment horizontal="left" vertical="center"/>
      <protection locked="0"/>
    </xf>
    <xf numFmtId="165" fontId="8" fillId="3" borderId="14" xfId="3" applyFont="1" applyFill="1" applyBorder="1" applyAlignment="1">
      <alignment horizontal="left" vertical="center"/>
    </xf>
    <xf numFmtId="198" fontId="212" fillId="59" borderId="199" xfId="0" applyNumberFormat="1" applyFont="1" applyFill="1" applyBorder="1" applyAlignment="1">
      <alignment horizontal="center" vertical="center" wrapText="1"/>
    </xf>
    <xf numFmtId="198" fontId="212" fillId="59" borderId="200" xfId="0" applyNumberFormat="1" applyFont="1" applyFill="1" applyBorder="1" applyAlignment="1">
      <alignment horizontal="center" vertical="center" wrapText="1"/>
    </xf>
    <xf numFmtId="49" fontId="95" fillId="0" borderId="0" xfId="3" applyNumberFormat="1" applyFont="1" applyBorder="1" applyAlignment="1">
      <alignment vertical="top"/>
    </xf>
    <xf numFmtId="165" fontId="25" fillId="5" borderId="0" xfId="3" applyFont="1" applyFill="1" applyAlignment="1">
      <alignment horizontal="left" vertical="center"/>
    </xf>
    <xf numFmtId="165" fontId="25" fillId="5" borderId="0" xfId="3" applyFont="1" applyFill="1" applyAlignment="1">
      <alignment horizontal="left"/>
    </xf>
    <xf numFmtId="173" fontId="8" fillId="5" borderId="2" xfId="0" applyNumberFormat="1" applyFont="1" applyFill="1" applyBorder="1"/>
    <xf numFmtId="0" fontId="23" fillId="63" borderId="0" xfId="0" applyFont="1" applyFill="1" applyAlignment="1">
      <alignment horizontal="center" wrapText="1"/>
    </xf>
    <xf numFmtId="0" fontId="0" fillId="5" borderId="1" xfId="0" applyFill="1" applyBorder="1" applyAlignment="1">
      <alignment wrapText="1"/>
    </xf>
    <xf numFmtId="0" fontId="0" fillId="5" borderId="43" xfId="0" applyFill="1" applyBorder="1" applyAlignment="1">
      <alignment wrapText="1"/>
    </xf>
    <xf numFmtId="0" fontId="78" fillId="5" borderId="5" xfId="0" applyFont="1" applyFill="1" applyBorder="1"/>
    <xf numFmtId="0" fontId="0" fillId="0" borderId="1" xfId="0" applyBorder="1" applyAlignment="1">
      <alignment horizontal="left" vertical="center" wrapText="1" readingOrder="1"/>
    </xf>
    <xf numFmtId="165" fontId="9" fillId="129" borderId="39" xfId="3" applyFont="1" applyFill="1" applyBorder="1" applyAlignment="1">
      <alignment horizontal="left" vertical="center" wrapText="1"/>
    </xf>
    <xf numFmtId="165" fontId="9" fillId="129" borderId="3" xfId="3" applyFont="1" applyFill="1" applyBorder="1" applyAlignment="1">
      <alignment horizontal="left" vertical="center" wrapText="1"/>
    </xf>
    <xf numFmtId="165" fontId="9" fillId="129" borderId="41" xfId="3" applyFont="1" applyFill="1" applyBorder="1" applyAlignment="1">
      <alignment horizontal="left" vertical="center" wrapText="1"/>
    </xf>
    <xf numFmtId="165" fontId="0" fillId="129" borderId="77" xfId="3" applyFont="1" applyFill="1" applyBorder="1" applyAlignment="1" applyProtection="1">
      <alignment horizontal="left" vertical="center" wrapText="1"/>
      <protection locked="0"/>
    </xf>
    <xf numFmtId="165" fontId="0" fillId="129" borderId="2" xfId="3" applyFont="1" applyFill="1" applyBorder="1" applyAlignment="1">
      <alignment horizontal="left" vertical="center" wrapText="1"/>
    </xf>
    <xf numFmtId="165" fontId="0" fillId="129" borderId="41" xfId="3" applyFont="1" applyFill="1" applyBorder="1" applyAlignment="1">
      <alignment horizontal="left" vertical="center" wrapText="1"/>
    </xf>
    <xf numFmtId="165" fontId="0" fillId="129" borderId="39" xfId="3" applyFont="1" applyFill="1" applyBorder="1" applyAlignment="1" applyProtection="1">
      <alignment horizontal="left" vertical="center" wrapText="1"/>
      <protection locked="0"/>
    </xf>
    <xf numFmtId="165" fontId="0" fillId="129" borderId="53" xfId="3" applyFont="1" applyFill="1" applyBorder="1" applyAlignment="1" applyProtection="1">
      <alignment horizontal="left" vertical="center" wrapText="1"/>
      <protection locked="0"/>
    </xf>
    <xf numFmtId="165" fontId="0" fillId="129" borderId="98" xfId="3" applyFont="1" applyFill="1" applyBorder="1" applyAlignment="1">
      <alignment horizontal="left" vertical="center" wrapText="1"/>
    </xf>
    <xf numFmtId="165" fontId="1" fillId="129" borderId="0" xfId="3" applyFont="1" applyFill="1" applyAlignment="1">
      <alignment horizontal="left"/>
    </xf>
    <xf numFmtId="165" fontId="14" fillId="129" borderId="14" xfId="3" applyFont="1" applyFill="1" applyBorder="1" applyAlignment="1">
      <alignment horizontal="left"/>
    </xf>
    <xf numFmtId="183" fontId="0" fillId="9" borderId="1" xfId="3" applyNumberFormat="1" applyFont="1" applyFill="1" applyBorder="1" applyAlignment="1">
      <alignment horizontal="right" vertical="top" wrapText="1"/>
    </xf>
    <xf numFmtId="165" fontId="23" fillId="9" borderId="1" xfId="3" applyFont="1" applyFill="1" applyBorder="1" applyAlignment="1">
      <alignment horizontal="left" vertical="center" wrapText="1"/>
    </xf>
    <xf numFmtId="165" fontId="30" fillId="9" borderId="96" xfId="3" applyFont="1" applyFill="1" applyBorder="1" applyAlignment="1">
      <alignment horizontal="left" vertical="center"/>
    </xf>
    <xf numFmtId="165" fontId="30" fillId="9" borderId="1" xfId="3" applyFont="1" applyFill="1" applyBorder="1" applyAlignment="1">
      <alignment horizontal="left" vertical="top" wrapText="1"/>
    </xf>
    <xf numFmtId="165" fontId="30" fillId="9" borderId="1" xfId="3" applyFont="1" applyFill="1" applyBorder="1" applyAlignment="1" applyProtection="1">
      <alignment horizontal="left" vertical="center"/>
      <protection locked="0"/>
    </xf>
    <xf numFmtId="0" fontId="0" fillId="9" borderId="1" xfId="0" applyFill="1" applyBorder="1" applyAlignment="1">
      <alignment horizontal="right" vertical="top" wrapText="1"/>
    </xf>
    <xf numFmtId="199" fontId="0" fillId="9" borderId="1" xfId="3" applyNumberFormat="1" applyFont="1" applyFill="1" applyBorder="1" applyAlignment="1">
      <alignment horizontal="right" vertical="top" wrapText="1"/>
    </xf>
    <xf numFmtId="0" fontId="0" fillId="9" borderId="1" xfId="0" applyFill="1" applyBorder="1" applyAlignment="1">
      <alignment horizontal="left" vertical="top" wrapText="1"/>
    </xf>
    <xf numFmtId="0" fontId="249" fillId="0" borderId="0" xfId="0" applyFont="1"/>
    <xf numFmtId="0" fontId="125" fillId="0" borderId="46" xfId="0" applyFont="1" applyBorder="1" applyAlignment="1">
      <alignment horizontal="center" vertical="center" wrapText="1"/>
    </xf>
    <xf numFmtId="0" fontId="124" fillId="79" borderId="49" xfId="0" applyFont="1" applyFill="1" applyBorder="1" applyAlignment="1">
      <alignment horizontal="center" vertical="center" wrapText="1"/>
    </xf>
    <xf numFmtId="167" fontId="125" fillId="9" borderId="1" xfId="3" applyNumberFormat="1" applyFont="1" applyFill="1" applyBorder="1" applyAlignment="1">
      <alignment horizontal="center" vertical="center" wrapText="1"/>
    </xf>
    <xf numFmtId="167" fontId="0" fillId="9" borderId="1" xfId="3" applyNumberFormat="1" applyFont="1" applyFill="1" applyBorder="1"/>
    <xf numFmtId="0" fontId="125" fillId="9" borderId="1" xfId="0" applyFont="1" applyFill="1" applyBorder="1" applyAlignment="1">
      <alignment horizontal="center" vertical="center" wrapText="1"/>
    </xf>
    <xf numFmtId="43" fontId="0" fillId="9" borderId="1" xfId="0" applyNumberFormat="1" applyFill="1" applyBorder="1" applyAlignment="1">
      <alignment horizontal="right" vertical="top"/>
    </xf>
    <xf numFmtId="184" fontId="0" fillId="9" borderId="1" xfId="0" applyNumberFormat="1" applyFill="1" applyBorder="1" applyAlignment="1">
      <alignment horizontal="right" vertical="top"/>
    </xf>
    <xf numFmtId="167" fontId="16" fillId="9" borderId="1" xfId="0" applyNumberFormat="1" applyFont="1" applyFill="1" applyBorder="1"/>
    <xf numFmtId="0" fontId="0" fillId="9" borderId="1" xfId="0" applyFill="1" applyBorder="1" applyAlignment="1">
      <alignment horizontal="right" vertical="top"/>
    </xf>
    <xf numFmtId="43" fontId="0" fillId="9" borderId="1" xfId="3" applyNumberFormat="1" applyFont="1" applyFill="1" applyBorder="1" applyAlignment="1">
      <alignment horizontal="right" vertical="top" wrapText="1"/>
    </xf>
    <xf numFmtId="165" fontId="0" fillId="9" borderId="96" xfId="3" applyFont="1" applyFill="1" applyBorder="1" applyAlignment="1">
      <alignment horizontal="left" vertical="center"/>
    </xf>
    <xf numFmtId="165" fontId="9" fillId="9" borderId="39" xfId="3" applyFont="1" applyFill="1" applyBorder="1" applyAlignment="1">
      <alignment horizontal="left" vertical="center" wrapText="1"/>
    </xf>
    <xf numFmtId="165" fontId="9" fillId="9" borderId="3" xfId="3" applyFont="1" applyFill="1" applyBorder="1" applyAlignment="1">
      <alignment horizontal="left" vertical="center" wrapText="1"/>
    </xf>
    <xf numFmtId="165" fontId="9" fillId="9" borderId="41" xfId="3" applyFont="1" applyFill="1" applyBorder="1" applyAlignment="1">
      <alignment horizontal="left" vertical="center" wrapText="1"/>
    </xf>
    <xf numFmtId="165" fontId="0" fillId="9" borderId="77" xfId="3" applyFont="1" applyFill="1" applyBorder="1" applyAlignment="1" applyProtection="1">
      <alignment horizontal="left" vertical="center" wrapText="1"/>
      <protection locked="0"/>
    </xf>
    <xf numFmtId="165" fontId="0" fillId="9" borderId="2" xfId="3" applyFont="1" applyFill="1" applyBorder="1" applyAlignment="1">
      <alignment horizontal="left" vertical="center" wrapText="1"/>
    </xf>
    <xf numFmtId="165" fontId="0" fillId="9" borderId="41" xfId="3" applyFont="1" applyFill="1" applyBorder="1" applyAlignment="1">
      <alignment horizontal="left" vertical="center" wrapText="1"/>
    </xf>
    <xf numFmtId="165" fontId="0" fillId="9" borderId="39" xfId="3" applyFont="1" applyFill="1" applyBorder="1" applyAlignment="1" applyProtection="1">
      <alignment horizontal="left" vertical="center" wrapText="1"/>
      <protection locked="0"/>
    </xf>
    <xf numFmtId="165" fontId="0" fillId="9" borderId="53" xfId="3" applyFont="1" applyFill="1" applyBorder="1" applyAlignment="1" applyProtection="1">
      <alignment horizontal="left" vertical="center" wrapText="1"/>
      <protection locked="0"/>
    </xf>
    <xf numFmtId="165" fontId="0" fillId="9" borderId="98" xfId="3" applyFont="1" applyFill="1" applyBorder="1" applyAlignment="1">
      <alignment horizontal="left" vertical="center" wrapText="1"/>
    </xf>
    <xf numFmtId="165" fontId="0" fillId="9" borderId="100" xfId="3" applyFont="1" applyFill="1" applyBorder="1" applyAlignment="1">
      <alignment horizontal="left" vertical="center" wrapText="1"/>
    </xf>
    <xf numFmtId="0" fontId="0" fillId="2" borderId="1" xfId="0" applyFill="1" applyBorder="1" applyAlignment="1">
      <alignment horizontal="left" vertical="center" wrapText="1" readingOrder="1"/>
    </xf>
    <xf numFmtId="0" fontId="0" fillId="0" borderId="0" xfId="0" applyAlignment="1" applyProtection="1">
      <alignment horizontal="center"/>
      <protection locked="0"/>
    </xf>
    <xf numFmtId="0" fontId="0" fillId="0" borderId="10" xfId="0" applyBorder="1" applyAlignment="1" applyProtection="1">
      <alignment horizontal="center"/>
      <protection locked="0"/>
    </xf>
    <xf numFmtId="0" fontId="0" fillId="5" borderId="0" xfId="0" applyFill="1" applyAlignment="1">
      <alignment horizontal="left" vertical="top" wrapText="1"/>
    </xf>
    <xf numFmtId="0" fontId="20" fillId="5" borderId="0" xfId="0" applyFont="1" applyFill="1" applyAlignment="1">
      <alignment horizontal="center" vertical="center" wrapText="1"/>
    </xf>
    <xf numFmtId="0" fontId="20" fillId="5" borderId="46" xfId="0" applyFont="1" applyFill="1" applyBorder="1" applyAlignment="1">
      <alignment horizontal="center" vertical="center" wrapText="1"/>
    </xf>
    <xf numFmtId="0" fontId="74" fillId="8" borderId="2" xfId="0" applyFont="1" applyFill="1" applyBorder="1" applyAlignment="1">
      <alignment horizontal="center"/>
    </xf>
    <xf numFmtId="0" fontId="74" fillId="8" borderId="4" xfId="0" applyFont="1" applyFill="1" applyBorder="1" applyAlignment="1">
      <alignment horizontal="center"/>
    </xf>
    <xf numFmtId="0" fontId="74" fillId="8" borderId="3" xfId="0" applyFont="1" applyFill="1" applyBorder="1" applyAlignment="1">
      <alignment horizontal="center"/>
    </xf>
    <xf numFmtId="3" fontId="0" fillId="101" borderId="2" xfId="3" applyNumberFormat="1" applyFont="1" applyFill="1" applyBorder="1" applyAlignment="1" applyProtection="1">
      <alignment horizontal="center" vertical="center" wrapText="1"/>
    </xf>
    <xf numFmtId="3" fontId="0" fillId="101" borderId="3" xfId="3" applyNumberFormat="1" applyFont="1" applyFill="1" applyBorder="1" applyAlignment="1" applyProtection="1">
      <alignment horizontal="center" vertical="center" wrapText="1"/>
    </xf>
    <xf numFmtId="0" fontId="6" fillId="8" borderId="2" xfId="0" applyFont="1" applyFill="1" applyBorder="1" applyAlignment="1">
      <alignment horizontal="center" vertical="center" wrapText="1"/>
    </xf>
    <xf numFmtId="0" fontId="6" fillId="8" borderId="3" xfId="0" applyFont="1" applyFill="1" applyBorder="1" applyAlignment="1">
      <alignment horizontal="center" vertical="center" wrapText="1"/>
    </xf>
    <xf numFmtId="1" fontId="0" fillId="101" borderId="2" xfId="3" applyNumberFormat="1" applyFont="1" applyFill="1" applyBorder="1" applyAlignment="1" applyProtection="1">
      <alignment horizontal="center" vertical="center" wrapText="1"/>
    </xf>
    <xf numFmtId="1" fontId="0" fillId="101" borderId="3" xfId="3" applyNumberFormat="1" applyFont="1" applyFill="1" applyBorder="1" applyAlignment="1" applyProtection="1">
      <alignment horizontal="center" vertical="center" wrapText="1"/>
    </xf>
    <xf numFmtId="3" fontId="0" fillId="4" borderId="2" xfId="3" applyNumberFormat="1" applyFont="1" applyFill="1" applyBorder="1" applyAlignment="1" applyProtection="1">
      <alignment horizontal="center" vertical="center" wrapText="1"/>
    </xf>
    <xf numFmtId="3" fontId="0" fillId="4" borderId="3" xfId="3" applyNumberFormat="1" applyFont="1" applyFill="1" applyBorder="1" applyAlignment="1" applyProtection="1">
      <alignment horizontal="center" vertical="center" wrapText="1"/>
    </xf>
    <xf numFmtId="0" fontId="0" fillId="4" borderId="2" xfId="0" applyFill="1" applyBorder="1" applyAlignment="1">
      <alignment horizontal="center" vertical="center"/>
    </xf>
    <xf numFmtId="0" fontId="0" fillId="4" borderId="3" xfId="0" applyFill="1" applyBorder="1" applyAlignment="1">
      <alignment horizontal="center" vertical="center"/>
    </xf>
    <xf numFmtId="4" fontId="0" fillId="101" borderId="2" xfId="3" applyNumberFormat="1" applyFont="1" applyFill="1" applyBorder="1" applyAlignment="1" applyProtection="1">
      <alignment horizontal="center" vertical="center" wrapText="1"/>
    </xf>
    <xf numFmtId="4" fontId="0" fillId="101" borderId="3" xfId="3" applyNumberFormat="1" applyFont="1" applyFill="1" applyBorder="1" applyAlignment="1" applyProtection="1">
      <alignment horizontal="center" vertical="center" wrapText="1"/>
    </xf>
    <xf numFmtId="4" fontId="0" fillId="4" borderId="2" xfId="3" applyNumberFormat="1" applyFont="1" applyFill="1" applyBorder="1" applyAlignment="1" applyProtection="1">
      <alignment horizontal="center" vertical="center" wrapText="1"/>
    </xf>
    <xf numFmtId="4" fontId="0" fillId="4" borderId="3" xfId="3" applyNumberFormat="1" applyFont="1" applyFill="1" applyBorder="1" applyAlignment="1" applyProtection="1">
      <alignment horizontal="center" vertical="center" wrapText="1"/>
    </xf>
    <xf numFmtId="3" fontId="0" fillId="4" borderId="2" xfId="3" applyNumberFormat="1" applyFont="1" applyFill="1" applyBorder="1" applyAlignment="1" applyProtection="1">
      <alignment horizontal="center" vertical="center"/>
    </xf>
    <xf numFmtId="3" fontId="0" fillId="4" borderId="3" xfId="3" applyNumberFormat="1" applyFont="1" applyFill="1" applyBorder="1" applyAlignment="1" applyProtection="1">
      <alignment horizontal="center" vertical="center"/>
    </xf>
    <xf numFmtId="3" fontId="0" fillId="4" borderId="2" xfId="0" applyNumberFormat="1" applyFill="1" applyBorder="1" applyAlignment="1">
      <alignment horizontal="center" vertical="center"/>
    </xf>
    <xf numFmtId="3" fontId="0" fillId="4" borderId="3" xfId="0" applyNumberFormat="1" applyFill="1" applyBorder="1" applyAlignment="1">
      <alignment horizontal="center" vertical="center"/>
    </xf>
    <xf numFmtId="49" fontId="132" fillId="90" borderId="47" xfId="77" applyNumberFormat="1" applyFont="1" applyFill="1" applyBorder="1" applyAlignment="1" applyProtection="1">
      <alignment horizontal="left" vertical="top" wrapText="1" indent="1"/>
    </xf>
    <xf numFmtId="49" fontId="132" fillId="90" borderId="48" xfId="77" applyNumberFormat="1" applyFont="1" applyFill="1" applyBorder="1" applyAlignment="1" applyProtection="1">
      <alignment horizontal="left" vertical="top" wrapText="1" indent="1"/>
    </xf>
    <xf numFmtId="49" fontId="132" fillId="90" borderId="49" xfId="77" applyNumberFormat="1" applyFont="1" applyFill="1" applyBorder="1" applyAlignment="1" applyProtection="1">
      <alignment horizontal="left" vertical="top" wrapText="1" indent="1"/>
    </xf>
    <xf numFmtId="49" fontId="132" fillId="90" borderId="16" xfId="77" applyNumberFormat="1" applyFont="1" applyFill="1" applyBorder="1" applyAlignment="1" applyProtection="1">
      <alignment horizontal="left" vertical="top" wrapText="1" indent="1"/>
    </xf>
    <xf numFmtId="49" fontId="132" fillId="90" borderId="0" xfId="77" applyNumberFormat="1" applyFont="1" applyFill="1" applyBorder="1" applyAlignment="1" applyProtection="1">
      <alignment horizontal="left" vertical="top" wrapText="1" indent="1"/>
    </xf>
    <xf numFmtId="49" fontId="132" fillId="90" borderId="33" xfId="77" applyNumberFormat="1" applyFont="1" applyFill="1" applyBorder="1" applyAlignment="1" applyProtection="1">
      <alignment horizontal="left" vertical="top" wrapText="1" indent="1"/>
    </xf>
    <xf numFmtId="49" fontId="132" fillId="90" borderId="17" xfId="77" applyNumberFormat="1" applyFont="1" applyFill="1" applyBorder="1" applyAlignment="1" applyProtection="1">
      <alignment horizontal="left" vertical="top" wrapText="1" indent="1"/>
    </xf>
    <xf numFmtId="49" fontId="132" fillId="90" borderId="46" xfId="77" applyNumberFormat="1" applyFont="1" applyFill="1" applyBorder="1" applyAlignment="1" applyProtection="1">
      <alignment horizontal="left" vertical="top" wrapText="1" indent="1"/>
    </xf>
    <xf numFmtId="49" fontId="132" fillId="90" borderId="34" xfId="77" applyNumberFormat="1" applyFont="1" applyFill="1" applyBorder="1" applyAlignment="1" applyProtection="1">
      <alignment horizontal="left" vertical="top" wrapText="1" indent="1"/>
    </xf>
    <xf numFmtId="0" fontId="224" fillId="82" borderId="21" xfId="0" applyFont="1" applyFill="1" applyBorder="1" applyAlignment="1">
      <alignment horizontal="left" vertical="center" wrapText="1" indent="1"/>
    </xf>
    <xf numFmtId="0" fontId="224" fillId="82" borderId="50" xfId="0" applyFont="1" applyFill="1" applyBorder="1" applyAlignment="1">
      <alignment horizontal="left" vertical="center" wrapText="1" indent="1"/>
    </xf>
    <xf numFmtId="0" fontId="224" fillId="82" borderId="45" xfId="0" applyFont="1" applyFill="1" applyBorder="1" applyAlignment="1">
      <alignment horizontal="left" vertical="center" wrapText="1" indent="1"/>
    </xf>
    <xf numFmtId="0" fontId="138" fillId="2" borderId="60" xfId="0" applyFont="1" applyFill="1" applyBorder="1" applyAlignment="1">
      <alignment horizontal="center" vertical="center" wrapText="1"/>
    </xf>
    <xf numFmtId="0" fontId="138" fillId="87" borderId="241" xfId="0" applyFont="1" applyFill="1" applyBorder="1" applyAlignment="1">
      <alignment horizontal="center" vertical="center" wrapText="1"/>
    </xf>
    <xf numFmtId="0" fontId="138" fillId="87" borderId="219" xfId="0" applyFont="1" applyFill="1" applyBorder="1" applyAlignment="1">
      <alignment horizontal="center" vertical="center" wrapText="1"/>
    </xf>
    <xf numFmtId="167" fontId="138" fillId="5" borderId="38" xfId="77" applyNumberFormat="1" applyFont="1" applyFill="1" applyBorder="1" applyAlignment="1" applyProtection="1">
      <alignment horizontal="center" vertical="center" wrapText="1"/>
    </xf>
    <xf numFmtId="167" fontId="138" fillId="5" borderId="175" xfId="77" applyNumberFormat="1" applyFont="1" applyFill="1" applyBorder="1" applyAlignment="1" applyProtection="1">
      <alignment horizontal="center" vertical="center" wrapText="1"/>
    </xf>
    <xf numFmtId="167" fontId="138" fillId="5" borderId="0" xfId="77" applyNumberFormat="1" applyFont="1" applyFill="1" applyBorder="1" applyAlignment="1" applyProtection="1">
      <alignment horizontal="center" vertical="center" wrapText="1"/>
    </xf>
    <xf numFmtId="167" fontId="138" fillId="5" borderId="33" xfId="77" applyNumberFormat="1" applyFont="1" applyFill="1" applyBorder="1" applyAlignment="1" applyProtection="1">
      <alignment horizontal="center" vertical="center" wrapText="1"/>
    </xf>
    <xf numFmtId="0" fontId="150" fillId="58" borderId="125" xfId="0" applyFont="1" applyFill="1" applyBorder="1" applyAlignment="1">
      <alignment horizontal="left" vertical="center" wrapText="1"/>
    </xf>
    <xf numFmtId="0" fontId="150" fillId="58" borderId="126" xfId="0" applyFont="1" applyFill="1" applyBorder="1" applyAlignment="1">
      <alignment horizontal="left" vertical="center" wrapText="1"/>
    </xf>
    <xf numFmtId="0" fontId="150" fillId="58" borderId="128" xfId="0" applyFont="1" applyFill="1" applyBorder="1" applyAlignment="1">
      <alignment horizontal="left" vertical="center" wrapText="1"/>
    </xf>
    <xf numFmtId="0" fontId="132" fillId="5" borderId="177" xfId="0" applyFont="1" applyFill="1" applyBorder="1" applyAlignment="1">
      <alignment horizontal="left" wrapText="1"/>
    </xf>
    <xf numFmtId="0" fontId="132" fillId="5" borderId="237" xfId="0" applyFont="1" applyFill="1" applyBorder="1" applyAlignment="1">
      <alignment horizontal="left" wrapText="1"/>
    </xf>
    <xf numFmtId="0" fontId="132" fillId="5" borderId="178" xfId="0" applyFont="1" applyFill="1" applyBorder="1" applyAlignment="1">
      <alignment horizontal="left" wrapText="1"/>
    </xf>
    <xf numFmtId="0" fontId="152" fillId="5" borderId="179" xfId="0" applyFont="1" applyFill="1" applyBorder="1" applyAlignment="1">
      <alignment horizontal="left" vertical="center" wrapText="1" indent="1"/>
    </xf>
    <xf numFmtId="0" fontId="152" fillId="5" borderId="238" xfId="0" applyFont="1" applyFill="1" applyBorder="1" applyAlignment="1">
      <alignment horizontal="left" vertical="center" wrapText="1" indent="1"/>
    </xf>
    <xf numFmtId="0" fontId="152" fillId="5" borderId="180" xfId="0" applyFont="1" applyFill="1" applyBorder="1" applyAlignment="1">
      <alignment horizontal="left" vertical="center" wrapText="1" indent="1"/>
    </xf>
    <xf numFmtId="0" fontId="138" fillId="5" borderId="0" xfId="0" applyFont="1" applyFill="1" applyAlignment="1">
      <alignment horizontal="left" vertical="center" wrapText="1"/>
    </xf>
    <xf numFmtId="0" fontId="138" fillId="5" borderId="33" xfId="0" applyFont="1" applyFill="1" applyBorder="1" applyAlignment="1">
      <alignment horizontal="left" vertical="center" wrapText="1"/>
    </xf>
    <xf numFmtId="0" fontId="132" fillId="0" borderId="47" xfId="0" applyFont="1" applyBorder="1" applyAlignment="1">
      <alignment horizontal="left" vertical="top" wrapText="1" indent="1"/>
    </xf>
    <xf numFmtId="0" fontId="132" fillId="0" borderId="48" xfId="0" applyFont="1" applyBorder="1" applyAlignment="1">
      <alignment horizontal="left" vertical="top" wrapText="1" indent="1"/>
    </xf>
    <xf numFmtId="0" fontId="132" fillId="0" borderId="49" xfId="0" applyFont="1" applyBorder="1" applyAlignment="1">
      <alignment horizontal="left" vertical="top" wrapText="1" indent="1"/>
    </xf>
    <xf numFmtId="0" fontId="132" fillId="0" borderId="17" xfId="0" applyFont="1" applyBorder="1" applyAlignment="1">
      <alignment horizontal="left" vertical="top" wrapText="1" indent="1"/>
    </xf>
    <xf numFmtId="0" fontId="132" fillId="0" borderId="46" xfId="0" applyFont="1" applyBorder="1" applyAlignment="1">
      <alignment horizontal="left" vertical="top" wrapText="1" indent="1"/>
    </xf>
    <xf numFmtId="0" fontId="132" fillId="0" borderId="34" xfId="0" applyFont="1" applyBorder="1" applyAlignment="1">
      <alignment horizontal="left" vertical="top" wrapText="1" indent="1"/>
    </xf>
    <xf numFmtId="0" fontId="150" fillId="88" borderId="125" xfId="0" applyFont="1" applyFill="1" applyBorder="1" applyAlignment="1">
      <alignment horizontal="left" vertical="center" wrapText="1"/>
    </xf>
    <xf numFmtId="0" fontId="150" fillId="88" borderId="126" xfId="0" applyFont="1" applyFill="1" applyBorder="1" applyAlignment="1">
      <alignment horizontal="left" vertical="center" wrapText="1"/>
    </xf>
    <xf numFmtId="0" fontId="150" fillId="88" borderId="128" xfId="0" applyFont="1" applyFill="1" applyBorder="1" applyAlignment="1">
      <alignment horizontal="left" vertical="center" wrapText="1"/>
    </xf>
    <xf numFmtId="167" fontId="138" fillId="5" borderId="2" xfId="6" applyNumberFormat="1" applyFont="1" applyFill="1" applyBorder="1" applyAlignment="1" applyProtection="1">
      <alignment horizontal="center" vertical="center" wrapText="1"/>
    </xf>
    <xf numFmtId="167" fontId="138" fillId="5" borderId="4" xfId="6" applyNumberFormat="1" applyFont="1" applyFill="1" applyBorder="1" applyAlignment="1" applyProtection="1">
      <alignment horizontal="center" vertical="center" wrapText="1"/>
    </xf>
    <xf numFmtId="167" fontId="138" fillId="5" borderId="78" xfId="6" applyNumberFormat="1" applyFont="1" applyFill="1" applyBorder="1" applyAlignment="1" applyProtection="1">
      <alignment horizontal="center" vertical="center" wrapText="1"/>
    </xf>
    <xf numFmtId="167" fontId="138" fillId="5" borderId="38" xfId="6" applyNumberFormat="1" applyFont="1" applyFill="1" applyBorder="1" applyAlignment="1" applyProtection="1">
      <alignment horizontal="center" vertical="center" wrapText="1"/>
    </xf>
    <xf numFmtId="167" fontId="138" fillId="5" borderId="175" xfId="6" applyNumberFormat="1" applyFont="1" applyFill="1" applyBorder="1" applyAlignment="1" applyProtection="1">
      <alignment horizontal="center" vertical="center" wrapText="1"/>
    </xf>
    <xf numFmtId="167" fontId="138" fillId="5" borderId="10" xfId="6" applyNumberFormat="1" applyFont="1" applyFill="1" applyBorder="1" applyAlignment="1" applyProtection="1">
      <alignment horizontal="center" vertical="center" wrapText="1"/>
    </xf>
    <xf numFmtId="167" fontId="138" fillId="5" borderId="176" xfId="6" applyNumberFormat="1" applyFont="1" applyFill="1" applyBorder="1" applyAlignment="1" applyProtection="1">
      <alignment horizontal="center" vertical="center" wrapText="1"/>
    </xf>
    <xf numFmtId="0" fontId="150" fillId="89" borderId="125" xfId="0" applyFont="1" applyFill="1" applyBorder="1" applyAlignment="1">
      <alignment horizontal="left" vertical="center" wrapText="1"/>
    </xf>
    <xf numFmtId="0" fontId="150" fillId="89" borderId="126" xfId="0" applyFont="1" applyFill="1" applyBorder="1" applyAlignment="1">
      <alignment horizontal="left" vertical="center" wrapText="1"/>
    </xf>
    <xf numFmtId="0" fontId="150" fillId="89" borderId="128" xfId="0" applyFont="1" applyFill="1" applyBorder="1" applyAlignment="1">
      <alignment horizontal="left" vertical="center" wrapText="1"/>
    </xf>
    <xf numFmtId="0" fontId="150" fillId="71" borderId="125" xfId="0" applyFont="1" applyFill="1" applyBorder="1" applyAlignment="1">
      <alignment horizontal="left" vertical="center" wrapText="1"/>
    </xf>
    <xf numFmtId="0" fontId="150" fillId="71" borderId="126" xfId="0" applyFont="1" applyFill="1" applyBorder="1" applyAlignment="1">
      <alignment horizontal="left" vertical="center" wrapText="1"/>
    </xf>
    <xf numFmtId="0" fontId="150" fillId="71" borderId="128" xfId="0" applyFont="1" applyFill="1" applyBorder="1" applyAlignment="1">
      <alignment horizontal="left" vertical="center" wrapText="1"/>
    </xf>
    <xf numFmtId="0" fontId="163" fillId="84" borderId="125" xfId="0" applyFont="1" applyFill="1" applyBorder="1" applyAlignment="1">
      <alignment horizontal="left" vertical="center" wrapText="1"/>
    </xf>
    <xf numFmtId="0" fontId="163" fillId="84" borderId="126" xfId="0" applyFont="1" applyFill="1" applyBorder="1" applyAlignment="1">
      <alignment horizontal="left" vertical="center" wrapText="1"/>
    </xf>
    <xf numFmtId="0" fontId="163" fillId="84" borderId="128" xfId="0" applyFont="1" applyFill="1" applyBorder="1" applyAlignment="1">
      <alignment horizontal="left" vertical="center" wrapText="1"/>
    </xf>
    <xf numFmtId="0" fontId="150" fillId="86" borderId="125" xfId="0" applyFont="1" applyFill="1" applyBorder="1" applyAlignment="1">
      <alignment horizontal="left" vertical="center" wrapText="1"/>
    </xf>
    <xf numFmtId="0" fontId="150" fillId="86" borderId="126" xfId="0" applyFont="1" applyFill="1" applyBorder="1" applyAlignment="1">
      <alignment horizontal="left" vertical="center" wrapText="1"/>
    </xf>
    <xf numFmtId="0" fontId="150" fillId="86" borderId="128" xfId="0" applyFont="1" applyFill="1" applyBorder="1" applyAlignment="1">
      <alignment horizontal="left" vertical="center" wrapText="1"/>
    </xf>
    <xf numFmtId="0" fontId="223" fillId="87" borderId="222" xfId="0" applyFont="1" applyFill="1" applyBorder="1" applyAlignment="1">
      <alignment horizontal="center" vertical="center" wrapText="1"/>
    </xf>
    <xf numFmtId="9" fontId="132" fillId="5" borderId="107" xfId="6" applyFont="1" applyFill="1" applyBorder="1" applyAlignment="1" applyProtection="1">
      <alignment horizontal="center" vertical="center" wrapText="1"/>
      <protection locked="0"/>
    </xf>
    <xf numFmtId="9" fontId="132" fillId="5" borderId="108" xfId="6" applyFont="1" applyFill="1" applyBorder="1" applyAlignment="1" applyProtection="1">
      <alignment horizontal="center" vertical="center" wrapText="1"/>
      <protection locked="0"/>
    </xf>
    <xf numFmtId="9" fontId="132" fillId="5" borderId="109" xfId="6" applyFont="1" applyFill="1" applyBorder="1" applyAlignment="1" applyProtection="1">
      <alignment horizontal="center" vertical="center" wrapText="1"/>
      <protection locked="0"/>
    </xf>
    <xf numFmtId="9" fontId="132" fillId="5" borderId="119" xfId="6" applyFont="1" applyFill="1" applyBorder="1" applyAlignment="1" applyProtection="1">
      <alignment horizontal="center" vertical="center" wrapText="1"/>
      <protection locked="0"/>
    </xf>
    <xf numFmtId="9" fontId="132" fillId="5" borderId="120" xfId="6" applyFont="1" applyFill="1" applyBorder="1" applyAlignment="1" applyProtection="1">
      <alignment horizontal="center" vertical="center" wrapText="1"/>
      <protection locked="0"/>
    </xf>
    <xf numFmtId="9" fontId="132" fillId="5" borderId="121" xfId="6" applyFont="1" applyFill="1" applyBorder="1" applyAlignment="1" applyProtection="1">
      <alignment horizontal="center" vertical="center" wrapText="1"/>
      <protection locked="0"/>
    </xf>
    <xf numFmtId="0" fontId="147" fillId="5" borderId="166" xfId="0" applyFont="1" applyFill="1" applyBorder="1" applyAlignment="1">
      <alignment horizontal="left" vertical="center" wrapText="1"/>
    </xf>
    <xf numFmtId="0" fontId="147" fillId="5" borderId="205" xfId="0" applyFont="1" applyFill="1" applyBorder="1" applyAlignment="1">
      <alignment horizontal="left" vertical="center" wrapText="1"/>
    </xf>
    <xf numFmtId="0" fontId="147" fillId="5" borderId="167" xfId="0" applyFont="1" applyFill="1" applyBorder="1" applyAlignment="1">
      <alignment horizontal="left" vertical="center" wrapText="1"/>
    </xf>
    <xf numFmtId="9" fontId="138" fillId="5" borderId="174" xfId="6" applyFont="1" applyFill="1" applyBorder="1" applyAlignment="1" applyProtection="1">
      <alignment horizontal="center" vertical="center" wrapText="1"/>
    </xf>
    <xf numFmtId="9" fontId="138" fillId="5" borderId="52" xfId="6" applyFont="1" applyFill="1" applyBorder="1" applyAlignment="1" applyProtection="1">
      <alignment horizontal="center" vertical="center" wrapText="1"/>
    </xf>
    <xf numFmtId="9" fontId="138" fillId="5" borderId="32" xfId="6" applyFont="1" applyFill="1" applyBorder="1" applyAlignment="1" applyProtection="1">
      <alignment horizontal="center" vertical="center" wrapText="1"/>
    </xf>
    <xf numFmtId="9" fontId="132" fillId="5" borderId="107" xfId="6" applyFont="1" applyFill="1" applyBorder="1" applyAlignment="1" applyProtection="1">
      <alignment horizontal="center" wrapText="1"/>
      <protection locked="0"/>
    </xf>
    <xf numFmtId="9" fontId="132" fillId="5" borderId="108" xfId="6" applyFont="1" applyFill="1" applyBorder="1" applyAlignment="1" applyProtection="1">
      <alignment horizontal="center" wrapText="1"/>
      <protection locked="0"/>
    </xf>
    <xf numFmtId="9" fontId="132" fillId="5" borderId="109" xfId="6" applyFont="1" applyFill="1" applyBorder="1" applyAlignment="1" applyProtection="1">
      <alignment horizontal="center" wrapText="1"/>
      <protection locked="0"/>
    </xf>
    <xf numFmtId="0" fontId="138" fillId="87" borderId="115" xfId="0" applyFont="1" applyFill="1" applyBorder="1" applyAlignment="1">
      <alignment horizontal="center" vertical="center" wrapText="1"/>
    </xf>
    <xf numFmtId="0" fontId="138" fillId="87" borderId="172" xfId="0" applyFont="1" applyFill="1" applyBorder="1" applyAlignment="1">
      <alignment horizontal="center" vertical="center" wrapText="1"/>
    </xf>
    <xf numFmtId="0" fontId="138" fillId="87" borderId="173" xfId="0" applyFont="1" applyFill="1" applyBorder="1" applyAlignment="1">
      <alignment horizontal="center" vertical="center" wrapText="1"/>
    </xf>
    <xf numFmtId="9" fontId="138" fillId="5" borderId="171" xfId="6" applyFont="1" applyFill="1" applyBorder="1" applyAlignment="1" applyProtection="1">
      <alignment horizontal="center" vertical="center" wrapText="1"/>
    </xf>
    <xf numFmtId="9" fontId="138" fillId="5" borderId="108" xfId="6" applyFont="1" applyFill="1" applyBorder="1" applyAlignment="1" applyProtection="1">
      <alignment horizontal="center" vertical="center" wrapText="1"/>
    </xf>
    <xf numFmtId="9" fontId="138" fillId="5" borderId="109" xfId="6" applyFont="1" applyFill="1" applyBorder="1" applyAlignment="1" applyProtection="1">
      <alignment horizontal="center" vertical="center" wrapText="1"/>
    </xf>
    <xf numFmtId="0" fontId="138" fillId="87" borderId="222" xfId="0" applyFont="1" applyFill="1" applyBorder="1" applyAlignment="1">
      <alignment horizontal="center" vertical="center" wrapText="1"/>
    </xf>
    <xf numFmtId="0" fontId="178" fillId="5" borderId="16" xfId="0" applyFont="1" applyFill="1" applyBorder="1" applyAlignment="1">
      <alignment horizontal="left" vertical="center" wrapText="1"/>
    </xf>
    <xf numFmtId="0" fontId="178" fillId="5" borderId="0" xfId="0" applyFont="1" applyFill="1" applyAlignment="1">
      <alignment horizontal="left" vertical="center" wrapText="1"/>
    </xf>
    <xf numFmtId="0" fontId="131" fillId="5" borderId="0" xfId="0" applyFont="1" applyFill="1" applyAlignment="1">
      <alignment horizontal="left" vertical="center" wrapText="1"/>
    </xf>
    <xf numFmtId="9" fontId="132" fillId="5" borderId="0" xfId="6" applyFont="1" applyFill="1" applyAlignment="1" applyProtection="1">
      <alignment horizontal="left" vertical="center" wrapText="1"/>
    </xf>
    <xf numFmtId="9" fontId="138" fillId="5" borderId="107" xfId="6" applyFont="1" applyFill="1" applyBorder="1" applyAlignment="1" applyProtection="1">
      <alignment horizontal="center" vertical="center" wrapText="1"/>
    </xf>
    <xf numFmtId="0" fontId="138" fillId="2" borderId="239" xfId="0" applyFont="1" applyFill="1" applyBorder="1" applyAlignment="1">
      <alignment horizontal="center" vertical="center" wrapText="1"/>
    </xf>
    <xf numFmtId="0" fontId="138" fillId="2" borderId="240" xfId="0" applyFont="1" applyFill="1" applyBorder="1" applyAlignment="1">
      <alignment horizontal="center" vertical="center" wrapText="1"/>
    </xf>
    <xf numFmtId="0" fontId="138" fillId="85" borderId="216" xfId="0" applyFont="1" applyFill="1" applyBorder="1" applyAlignment="1">
      <alignment horizontal="center" vertical="center" wrapText="1"/>
    </xf>
    <xf numFmtId="0" fontId="138" fillId="85" borderId="217" xfId="0" applyFont="1" applyFill="1" applyBorder="1" applyAlignment="1">
      <alignment horizontal="center" vertical="center" wrapText="1"/>
    </xf>
    <xf numFmtId="0" fontId="138" fillId="85" borderId="218" xfId="0" applyFont="1" applyFill="1" applyBorder="1" applyAlignment="1">
      <alignment horizontal="center" vertical="center" wrapText="1"/>
    </xf>
    <xf numFmtId="0" fontId="166" fillId="5" borderId="82" xfId="0" applyFont="1" applyFill="1" applyBorder="1" applyAlignment="1">
      <alignment horizontal="center" vertical="center" wrapText="1"/>
    </xf>
    <xf numFmtId="0" fontId="166" fillId="5" borderId="214" xfId="0" applyFont="1" applyFill="1" applyBorder="1" applyAlignment="1">
      <alignment horizontal="center" vertical="center" wrapText="1"/>
    </xf>
    <xf numFmtId="0" fontId="166" fillId="5" borderId="212" xfId="0" applyFont="1" applyFill="1" applyBorder="1" applyAlignment="1">
      <alignment horizontal="center" vertical="center" wrapText="1"/>
    </xf>
    <xf numFmtId="0" fontId="166" fillId="5" borderId="213" xfId="0" applyFont="1" applyFill="1" applyBorder="1" applyAlignment="1">
      <alignment horizontal="center" vertical="center" wrapText="1"/>
    </xf>
    <xf numFmtId="0" fontId="132" fillId="5" borderId="213" xfId="0" applyFont="1" applyFill="1" applyBorder="1" applyAlignment="1">
      <alignment horizontal="left" vertical="center" wrapText="1" indent="1"/>
    </xf>
    <xf numFmtId="0" fontId="132" fillId="5" borderId="46" xfId="0" applyFont="1" applyFill="1" applyBorder="1" applyAlignment="1">
      <alignment horizontal="left" vertical="center" wrapText="1" indent="1"/>
    </xf>
    <xf numFmtId="0" fontId="132" fillId="5" borderId="34" xfId="0" applyFont="1" applyFill="1" applyBorder="1" applyAlignment="1">
      <alignment horizontal="left" vertical="center" wrapText="1" indent="1"/>
    </xf>
    <xf numFmtId="0" fontId="152" fillId="5" borderId="224" xfId="0" applyFont="1" applyFill="1" applyBorder="1" applyAlignment="1">
      <alignment horizontal="left" vertical="center" wrapText="1" indent="1"/>
    </xf>
    <xf numFmtId="0" fontId="152" fillId="5" borderId="225" xfId="0" applyFont="1" applyFill="1" applyBorder="1" applyAlignment="1">
      <alignment horizontal="left" vertical="center" wrapText="1" indent="1"/>
    </xf>
    <xf numFmtId="0" fontId="152" fillId="5" borderId="226" xfId="0" applyFont="1" applyFill="1" applyBorder="1" applyAlignment="1">
      <alignment horizontal="left" vertical="center" wrapText="1" indent="1"/>
    </xf>
    <xf numFmtId="0" fontId="132" fillId="5" borderId="50" xfId="0" applyFont="1" applyFill="1" applyBorder="1" applyAlignment="1">
      <alignment horizontal="left" vertical="center" wrapText="1"/>
    </xf>
    <xf numFmtId="0" fontId="132" fillId="5" borderId="45" xfId="0" applyFont="1" applyFill="1" applyBorder="1" applyAlignment="1">
      <alignment horizontal="left" vertical="center" wrapText="1"/>
    </xf>
    <xf numFmtId="49" fontId="132" fillId="90" borderId="212" xfId="77" applyNumberFormat="1" applyFont="1" applyFill="1" applyBorder="1" applyAlignment="1" applyProtection="1">
      <alignment horizontal="left" vertical="top" wrapText="1" indent="1"/>
    </xf>
    <xf numFmtId="49" fontId="132" fillId="90" borderId="12" xfId="77" applyNumberFormat="1" applyFont="1" applyFill="1" applyBorder="1" applyAlignment="1" applyProtection="1">
      <alignment horizontal="left" vertical="top" wrapText="1" indent="1"/>
    </xf>
    <xf numFmtId="49" fontId="132" fillId="90" borderId="213" xfId="77" applyNumberFormat="1" applyFont="1" applyFill="1" applyBorder="1" applyAlignment="1" applyProtection="1">
      <alignment horizontal="left" vertical="top" wrapText="1" indent="1"/>
    </xf>
    <xf numFmtId="0" fontId="138" fillId="5" borderId="16" xfId="0" applyFont="1" applyFill="1" applyBorder="1" applyAlignment="1">
      <alignment horizontal="left" wrapText="1"/>
    </xf>
    <xf numFmtId="0" fontId="138" fillId="5" borderId="0" xfId="0" applyFont="1" applyFill="1" applyAlignment="1">
      <alignment horizontal="left" wrapText="1"/>
    </xf>
    <xf numFmtId="0" fontId="132" fillId="0" borderId="16" xfId="0" applyFont="1" applyBorder="1" applyAlignment="1">
      <alignment horizontal="left" vertical="top" wrapText="1" indent="1"/>
    </xf>
    <xf numFmtId="0" fontId="132" fillId="0" borderId="0" xfId="0" applyFont="1" applyAlignment="1">
      <alignment horizontal="left" vertical="top" wrapText="1" indent="1"/>
    </xf>
    <xf numFmtId="0" fontId="138" fillId="5" borderId="192" xfId="0" applyFont="1" applyFill="1" applyBorder="1" applyAlignment="1">
      <alignment horizontal="center" wrapText="1"/>
    </xf>
    <xf numFmtId="0" fontId="150" fillId="91" borderId="186" xfId="0" applyFont="1" applyFill="1" applyBorder="1" applyAlignment="1">
      <alignment horizontal="left" vertical="center" wrapText="1"/>
    </xf>
    <xf numFmtId="0" fontId="150" fillId="91" borderId="206" xfId="0" applyFont="1" applyFill="1" applyBorder="1" applyAlignment="1">
      <alignment horizontal="left" vertical="center" wrapText="1"/>
    </xf>
    <xf numFmtId="0" fontId="150" fillId="91" borderId="187" xfId="0" applyFont="1" applyFill="1" applyBorder="1" applyAlignment="1">
      <alignment horizontal="left" vertical="center" wrapText="1"/>
    </xf>
    <xf numFmtId="0" fontId="132" fillId="5" borderId="147" xfId="0" applyFont="1" applyFill="1" applyBorder="1" applyAlignment="1">
      <alignment horizontal="left" vertical="center" wrapText="1"/>
    </xf>
    <xf numFmtId="0" fontId="132" fillId="5" borderId="207" xfId="0" applyFont="1" applyFill="1" applyBorder="1" applyAlignment="1">
      <alignment horizontal="left" vertical="center" wrapText="1"/>
    </xf>
    <xf numFmtId="0" fontId="132" fillId="5" borderId="148" xfId="0" applyFont="1" applyFill="1" applyBorder="1" applyAlignment="1">
      <alignment horizontal="left" vertical="center" wrapText="1"/>
    </xf>
    <xf numFmtId="0" fontId="150" fillId="89" borderId="142" xfId="0" applyFont="1" applyFill="1" applyBorder="1" applyAlignment="1">
      <alignment horizontal="left" vertical="center" wrapText="1"/>
    </xf>
    <xf numFmtId="0" fontId="150" fillId="89" borderId="74" xfId="0" applyFont="1" applyFill="1" applyBorder="1" applyAlignment="1">
      <alignment horizontal="left" vertical="center" wrapText="1"/>
    </xf>
    <xf numFmtId="0" fontId="150" fillId="89" borderId="185" xfId="0" applyFont="1" applyFill="1" applyBorder="1" applyAlignment="1">
      <alignment horizontal="left" vertical="center" wrapText="1"/>
    </xf>
    <xf numFmtId="0" fontId="150" fillId="92" borderId="223" xfId="0" applyFont="1" applyFill="1" applyBorder="1" applyAlignment="1">
      <alignment horizontal="left" wrapText="1"/>
    </xf>
    <xf numFmtId="0" fontId="150" fillId="92" borderId="38" xfId="0" applyFont="1" applyFill="1" applyBorder="1" applyAlignment="1">
      <alignment horizontal="left" wrapText="1"/>
    </xf>
    <xf numFmtId="0" fontId="150" fillId="92" borderId="59" xfId="0" applyFont="1" applyFill="1" applyBorder="1" applyAlignment="1">
      <alignment horizontal="left" wrapText="1"/>
    </xf>
    <xf numFmtId="0" fontId="163" fillId="90" borderId="77" xfId="0" applyFont="1" applyFill="1" applyBorder="1" applyAlignment="1">
      <alignment horizontal="center" wrapText="1"/>
    </xf>
    <xf numFmtId="0" fontId="163" fillId="90" borderId="4" xfId="0" applyFont="1" applyFill="1" applyBorder="1" applyAlignment="1">
      <alignment horizontal="center" wrapText="1"/>
    </xf>
    <xf numFmtId="0" fontId="163" fillId="90" borderId="78" xfId="0" applyFont="1" applyFill="1" applyBorder="1" applyAlignment="1">
      <alignment horizontal="center" wrapText="1"/>
    </xf>
    <xf numFmtId="0" fontId="164" fillId="5" borderId="77" xfId="0" applyFont="1" applyFill="1" applyBorder="1" applyAlignment="1" applyProtection="1">
      <alignment horizontal="left" vertical="top" wrapText="1"/>
      <protection locked="0"/>
    </xf>
    <xf numFmtId="0" fontId="164" fillId="5" borderId="4" xfId="0" applyFont="1" applyFill="1" applyBorder="1" applyAlignment="1" applyProtection="1">
      <alignment horizontal="left" vertical="top" wrapText="1"/>
      <protection locked="0"/>
    </xf>
    <xf numFmtId="0" fontId="164" fillId="5" borderId="78" xfId="0" applyFont="1" applyFill="1" applyBorder="1" applyAlignment="1" applyProtection="1">
      <alignment horizontal="left" vertical="top" wrapText="1"/>
      <protection locked="0"/>
    </xf>
    <xf numFmtId="0" fontId="165" fillId="93" borderId="188" xfId="0" applyFont="1" applyFill="1" applyBorder="1" applyAlignment="1">
      <alignment horizontal="left" indent="1"/>
    </xf>
    <xf numFmtId="0" fontId="165" fillId="93" borderId="208" xfId="0" applyFont="1" applyFill="1" applyBorder="1" applyAlignment="1">
      <alignment horizontal="left" indent="1"/>
    </xf>
    <xf numFmtId="0" fontId="165" fillId="93" borderId="189" xfId="0" applyFont="1" applyFill="1" applyBorder="1" applyAlignment="1">
      <alignment horizontal="left" indent="1"/>
    </xf>
    <xf numFmtId="0" fontId="132" fillId="5" borderId="151" xfId="0" applyFont="1" applyFill="1" applyBorder="1" applyAlignment="1">
      <alignment horizontal="center" vertical="center" wrapText="1"/>
    </xf>
    <xf numFmtId="0" fontId="132" fillId="5" borderId="190" xfId="0" applyFont="1" applyFill="1" applyBorder="1" applyAlignment="1">
      <alignment horizontal="center" vertical="center" wrapText="1"/>
    </xf>
    <xf numFmtId="0" fontId="132" fillId="5" borderId="191" xfId="0" applyFont="1" applyFill="1" applyBorder="1" applyAlignment="1">
      <alignment horizontal="center" vertical="center" wrapText="1"/>
    </xf>
    <xf numFmtId="0" fontId="164" fillId="5" borderId="2" xfId="0" applyFont="1" applyFill="1" applyBorder="1" applyAlignment="1">
      <alignment horizontal="left" wrapText="1"/>
    </xf>
    <xf numFmtId="0" fontId="164" fillId="5" borderId="4" xfId="0" applyFont="1" applyFill="1" applyBorder="1" applyAlignment="1">
      <alignment horizontal="left" wrapText="1"/>
    </xf>
    <xf numFmtId="0" fontId="164" fillId="5" borderId="3" xfId="0" applyFont="1" applyFill="1" applyBorder="1" applyAlignment="1">
      <alignment horizontal="left" wrapText="1"/>
    </xf>
    <xf numFmtId="9" fontId="132" fillId="5" borderId="119" xfId="6" applyFont="1" applyFill="1" applyBorder="1" applyAlignment="1" applyProtection="1">
      <alignment horizontal="center" wrapText="1"/>
      <protection locked="0"/>
    </xf>
    <xf numFmtId="9" fontId="132" fillId="5" borderId="120" xfId="6" applyFont="1" applyFill="1" applyBorder="1" applyAlignment="1" applyProtection="1">
      <alignment horizontal="center" wrapText="1"/>
      <protection locked="0"/>
    </xf>
    <xf numFmtId="9" fontId="132" fillId="5" borderId="121" xfId="6" applyFont="1" applyFill="1" applyBorder="1" applyAlignment="1" applyProtection="1">
      <alignment horizontal="center" wrapText="1"/>
      <protection locked="0"/>
    </xf>
    <xf numFmtId="0" fontId="150" fillId="0" borderId="16" xfId="0" applyFont="1" applyBorder="1" applyAlignment="1">
      <alignment horizontal="center" vertical="center" wrapText="1"/>
    </xf>
    <xf numFmtId="0" fontId="150" fillId="0" borderId="0" xfId="0" applyFont="1" applyAlignment="1">
      <alignment horizontal="center" vertical="center" wrapText="1"/>
    </xf>
    <xf numFmtId="0" fontId="150" fillId="0" borderId="33" xfId="0" applyFont="1" applyBorder="1" applyAlignment="1">
      <alignment horizontal="center" vertical="center" wrapText="1"/>
    </xf>
    <xf numFmtId="9" fontId="138" fillId="5" borderId="146" xfId="6" applyFont="1" applyFill="1" applyBorder="1" applyAlignment="1" applyProtection="1">
      <alignment horizontal="center" vertical="center" wrapText="1"/>
    </xf>
    <xf numFmtId="9" fontId="138" fillId="5" borderId="104" xfId="6" applyFont="1" applyFill="1" applyBorder="1" applyAlignment="1" applyProtection="1">
      <alignment horizontal="center" vertical="center" wrapText="1"/>
    </xf>
    <xf numFmtId="9" fontId="138" fillId="5" borderId="105" xfId="6" applyFont="1" applyFill="1" applyBorder="1" applyAlignment="1" applyProtection="1">
      <alignment horizontal="center" vertical="center" wrapText="1"/>
    </xf>
    <xf numFmtId="0" fontId="138" fillId="2" borderId="168" xfId="0" applyFont="1" applyFill="1" applyBorder="1" applyAlignment="1">
      <alignment horizontal="center" vertical="center" wrapText="1"/>
    </xf>
    <xf numFmtId="0" fontId="138" fillId="2" borderId="169" xfId="0" applyFont="1" applyFill="1" applyBorder="1" applyAlignment="1">
      <alignment horizontal="center" vertical="center" wrapText="1"/>
    </xf>
    <xf numFmtId="0" fontId="138" fillId="2" borderId="170" xfId="0" applyFont="1" applyFill="1" applyBorder="1" applyAlignment="1">
      <alignment horizontal="center" vertical="center" wrapText="1"/>
    </xf>
    <xf numFmtId="0" fontId="138" fillId="85" borderId="182" xfId="0" applyFont="1" applyFill="1" applyBorder="1" applyAlignment="1">
      <alignment horizontal="center" vertical="center" wrapText="1"/>
    </xf>
    <xf numFmtId="0" fontId="138" fillId="85" borderId="183" xfId="0" applyFont="1" applyFill="1" applyBorder="1" applyAlignment="1">
      <alignment horizontal="center" vertical="center" wrapText="1"/>
    </xf>
    <xf numFmtId="0" fontId="138" fillId="85" borderId="184" xfId="0" applyFont="1" applyFill="1" applyBorder="1" applyAlignment="1">
      <alignment horizontal="center" vertical="center" wrapText="1"/>
    </xf>
    <xf numFmtId="0" fontId="138" fillId="2" borderId="71" xfId="0" applyFont="1" applyFill="1" applyBorder="1" applyAlignment="1">
      <alignment horizontal="center" vertical="center" wrapText="1"/>
    </xf>
    <xf numFmtId="0" fontId="138" fillId="2" borderId="215" xfId="0" applyFont="1" applyFill="1" applyBorder="1" applyAlignment="1">
      <alignment horizontal="center" vertical="center" wrapText="1"/>
    </xf>
    <xf numFmtId="0" fontId="138" fillId="2" borderId="75" xfId="0" applyFont="1" applyFill="1" applyBorder="1" applyAlignment="1">
      <alignment horizontal="center" vertical="center" wrapText="1"/>
    </xf>
    <xf numFmtId="9" fontId="132" fillId="5" borderId="108" xfId="6" applyFont="1" applyFill="1" applyBorder="1" applyAlignment="1" applyProtection="1">
      <alignment horizontal="left" wrapText="1"/>
      <protection locked="0"/>
    </xf>
    <xf numFmtId="9" fontId="132" fillId="5" borderId="109" xfId="6" applyFont="1" applyFill="1" applyBorder="1" applyAlignment="1" applyProtection="1">
      <alignment horizontal="left" wrapText="1"/>
      <protection locked="0"/>
    </xf>
    <xf numFmtId="0" fontId="157" fillId="5" borderId="0" xfId="0" applyFont="1" applyFill="1" applyAlignment="1">
      <alignment horizontal="left" vertical="center" wrapText="1"/>
    </xf>
    <xf numFmtId="0" fontId="157" fillId="5" borderId="181" xfId="0" applyFont="1" applyFill="1" applyBorder="1" applyAlignment="1">
      <alignment horizontal="left" vertical="center" wrapText="1"/>
    </xf>
    <xf numFmtId="9" fontId="132" fillId="5" borderId="0" xfId="6" applyFont="1" applyFill="1" applyAlignment="1" applyProtection="1">
      <alignment horizontal="left" vertical="top" wrapText="1"/>
    </xf>
    <xf numFmtId="0" fontId="138" fillId="95" borderId="47" xfId="0" applyFont="1" applyFill="1" applyBorder="1" applyAlignment="1">
      <alignment horizontal="center" vertical="center" wrapText="1"/>
    </xf>
    <xf numFmtId="0" fontId="138" fillId="95" borderId="17" xfId="0" applyFont="1" applyFill="1" applyBorder="1" applyAlignment="1">
      <alignment horizontal="center" vertical="center" wrapText="1"/>
    </xf>
    <xf numFmtId="0" fontId="132" fillId="9" borderId="201" xfId="0" applyFont="1" applyFill="1" applyBorder="1" applyAlignment="1" applyProtection="1">
      <alignment horizontal="left" wrapText="1"/>
      <protection locked="0"/>
    </xf>
    <xf numFmtId="0" fontId="132" fillId="9" borderId="202" xfId="0" applyFont="1" applyFill="1" applyBorder="1" applyAlignment="1" applyProtection="1">
      <alignment horizontal="left" wrapText="1"/>
      <protection locked="0"/>
    </xf>
    <xf numFmtId="0" fontId="132" fillId="9" borderId="203" xfId="0" applyFont="1" applyFill="1" applyBorder="1" applyAlignment="1" applyProtection="1">
      <alignment horizontal="left" wrapText="1"/>
      <protection locked="0"/>
    </xf>
    <xf numFmtId="0" fontId="132" fillId="9" borderId="204" xfId="0" applyFont="1" applyFill="1" applyBorder="1" applyAlignment="1" applyProtection="1">
      <alignment horizontal="left" wrapText="1"/>
      <protection locked="0"/>
    </xf>
    <xf numFmtId="167" fontId="132" fillId="5" borderId="48" xfId="77" applyNumberFormat="1" applyFont="1" applyFill="1" applyBorder="1" applyAlignment="1" applyProtection="1">
      <alignment horizontal="center" vertical="center" wrapText="1"/>
    </xf>
    <xf numFmtId="167" fontId="132" fillId="5" borderId="49" xfId="77" applyNumberFormat="1" applyFont="1" applyFill="1" applyBorder="1" applyAlignment="1" applyProtection="1">
      <alignment horizontal="center" vertical="center" wrapText="1"/>
    </xf>
    <xf numFmtId="167" fontId="132" fillId="5" borderId="46" xfId="77" applyNumberFormat="1" applyFont="1" applyFill="1" applyBorder="1" applyAlignment="1" applyProtection="1">
      <alignment horizontal="center" vertical="center" wrapText="1"/>
    </xf>
    <xf numFmtId="167" fontId="132" fillId="5" borderId="34" xfId="77" applyNumberFormat="1" applyFont="1" applyFill="1" applyBorder="1" applyAlignment="1" applyProtection="1">
      <alignment horizontal="center" vertical="center" wrapText="1"/>
    </xf>
    <xf numFmtId="0" fontId="132" fillId="5" borderId="203" xfId="0" applyFont="1" applyFill="1" applyBorder="1" applyAlignment="1">
      <alignment horizontal="left"/>
    </xf>
    <xf numFmtId="0" fontId="132" fillId="5" borderId="204" xfId="0" applyFont="1" applyFill="1" applyBorder="1" applyAlignment="1">
      <alignment horizontal="left"/>
    </xf>
    <xf numFmtId="0" fontId="132" fillId="5" borderId="210" xfId="0" applyFont="1" applyFill="1" applyBorder="1" applyAlignment="1">
      <alignment horizontal="left" vertical="center"/>
    </xf>
    <xf numFmtId="0" fontId="132" fillId="5" borderId="211" xfId="0" applyFont="1" applyFill="1" applyBorder="1" applyAlignment="1">
      <alignment horizontal="left" vertical="center"/>
    </xf>
    <xf numFmtId="0" fontId="132" fillId="9" borderId="210" xfId="0" applyFont="1" applyFill="1" applyBorder="1" applyAlignment="1" applyProtection="1">
      <alignment horizontal="left" wrapText="1"/>
      <protection locked="0"/>
    </xf>
    <xf numFmtId="0" fontId="132" fillId="9" borderId="211" xfId="0" applyFont="1" applyFill="1" applyBorder="1" applyAlignment="1" applyProtection="1">
      <alignment horizontal="left" wrapText="1"/>
      <protection locked="0"/>
    </xf>
    <xf numFmtId="0" fontId="132" fillId="5" borderId="201" xfId="0" applyFont="1" applyFill="1" applyBorder="1" applyAlignment="1">
      <alignment horizontal="left" wrapText="1"/>
    </xf>
    <xf numFmtId="0" fontId="132" fillId="5" borderId="202" xfId="0" applyFont="1" applyFill="1" applyBorder="1" applyAlignment="1">
      <alignment horizontal="left" wrapText="1"/>
    </xf>
    <xf numFmtId="0" fontId="132" fillId="5" borderId="203" xfId="0" applyFont="1" applyFill="1" applyBorder="1" applyAlignment="1">
      <alignment horizontal="left" wrapText="1"/>
    </xf>
    <xf numFmtId="0" fontId="132" fillId="5" borderId="204" xfId="0" applyFont="1" applyFill="1" applyBorder="1" applyAlignment="1">
      <alignment horizontal="left" wrapText="1"/>
    </xf>
    <xf numFmtId="0" fontId="2" fillId="9" borderId="0" xfId="1" applyFill="1" applyBorder="1" applyAlignment="1">
      <alignment vertical="top" wrapText="1"/>
    </xf>
    <xf numFmtId="0" fontId="39" fillId="5" borderId="0" xfId="0" applyFont="1" applyFill="1" applyAlignment="1">
      <alignment horizontal="center"/>
    </xf>
    <xf numFmtId="0" fontId="6" fillId="5" borderId="0" xfId="0" applyFont="1" applyFill="1" applyAlignment="1">
      <alignment horizontal="left" vertical="top"/>
    </xf>
    <xf numFmtId="0" fontId="6" fillId="5" borderId="0" xfId="0" applyFont="1" applyFill="1" applyAlignment="1">
      <alignment horizontal="left" vertical="center" wrapText="1"/>
    </xf>
    <xf numFmtId="0" fontId="46" fillId="15" borderId="2" xfId="0" applyFont="1" applyFill="1" applyBorder="1" applyAlignment="1">
      <alignment horizontal="center"/>
    </xf>
    <xf numFmtId="0" fontId="46" fillId="15" borderId="4" xfId="0" applyFont="1" applyFill="1" applyBorder="1" applyAlignment="1">
      <alignment horizontal="center"/>
    </xf>
    <xf numFmtId="0" fontId="46" fillId="15" borderId="3" xfId="0" applyFont="1" applyFill="1" applyBorder="1" applyAlignment="1">
      <alignment horizontal="center"/>
    </xf>
    <xf numFmtId="0" fontId="6" fillId="4" borderId="65" xfId="0" applyFont="1" applyFill="1" applyBorder="1" applyAlignment="1">
      <alignment horizontal="left" vertical="top" wrapText="1"/>
    </xf>
    <xf numFmtId="0" fontId="6" fillId="4" borderId="67" xfId="0" applyFont="1" applyFill="1" applyBorder="1" applyAlignment="1">
      <alignment horizontal="left" vertical="top" wrapText="1"/>
    </xf>
    <xf numFmtId="0" fontId="6" fillId="4" borderId="70" xfId="0" applyFont="1" applyFill="1" applyBorder="1" applyAlignment="1">
      <alignment horizontal="left" vertical="top" wrapText="1"/>
    </xf>
    <xf numFmtId="0" fontId="6" fillId="5" borderId="0" xfId="0" applyFont="1" applyFill="1" applyAlignment="1">
      <alignment horizontal="left" vertical="top" wrapText="1"/>
    </xf>
    <xf numFmtId="0" fontId="6" fillId="72" borderId="74" xfId="0" applyFont="1" applyFill="1" applyBorder="1" applyAlignment="1">
      <alignment horizontal="left" vertical="top"/>
    </xf>
    <xf numFmtId="0" fontId="6" fillId="72" borderId="60" xfId="0" applyFont="1" applyFill="1" applyBorder="1" applyAlignment="1">
      <alignment horizontal="left" vertical="top"/>
    </xf>
    <xf numFmtId="0" fontId="13" fillId="5" borderId="0" xfId="0" applyFont="1" applyFill="1" applyAlignment="1">
      <alignment horizontal="left" vertical="top"/>
    </xf>
    <xf numFmtId="0" fontId="13" fillId="5" borderId="0" xfId="0" applyFont="1" applyFill="1" applyAlignment="1">
      <alignment horizontal="center" vertical="center"/>
    </xf>
    <xf numFmtId="0" fontId="234" fillId="54" borderId="0" xfId="0" applyFont="1" applyFill="1" applyAlignment="1">
      <alignment horizontal="left" wrapText="1"/>
    </xf>
    <xf numFmtId="0" fontId="234" fillId="0" borderId="0" xfId="0" applyFont="1" applyAlignment="1">
      <alignment horizontal="left" vertical="top" wrapText="1"/>
    </xf>
    <xf numFmtId="0" fontId="39" fillId="71" borderId="62" xfId="0" applyFont="1" applyFill="1" applyBorder="1" applyAlignment="1">
      <alignment horizontal="center"/>
    </xf>
    <xf numFmtId="0" fontId="39" fillId="71" borderId="74" xfId="0" applyFont="1" applyFill="1" applyBorder="1" applyAlignment="1">
      <alignment horizontal="center"/>
    </xf>
    <xf numFmtId="0" fontId="39" fillId="71" borderId="60" xfId="0" applyFont="1" applyFill="1" applyBorder="1" applyAlignment="1">
      <alignment horizontal="center"/>
    </xf>
    <xf numFmtId="0" fontId="6" fillId="4" borderId="71" xfId="0" applyFont="1" applyFill="1" applyBorder="1" applyAlignment="1">
      <alignment horizontal="center" vertical="top" wrapText="1"/>
    </xf>
    <xf numFmtId="0" fontId="6" fillId="4" borderId="215" xfId="0" applyFont="1" applyFill="1" applyBorder="1" applyAlignment="1">
      <alignment horizontal="center" vertical="top" wrapText="1"/>
    </xf>
    <xf numFmtId="0" fontId="6" fillId="4" borderId="75" xfId="0" applyFont="1" applyFill="1" applyBorder="1" applyAlignment="1">
      <alignment horizontal="center" vertical="top" wrapText="1"/>
    </xf>
    <xf numFmtId="0" fontId="6" fillId="4" borderId="2" xfId="0" applyFont="1" applyFill="1" applyBorder="1" applyAlignment="1">
      <alignment horizontal="left" vertical="top" wrapText="1"/>
    </xf>
    <xf numFmtId="0" fontId="6" fillId="4" borderId="4"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70" borderId="35" xfId="0" applyFont="1" applyFill="1" applyBorder="1" applyAlignment="1">
      <alignment vertical="center" wrapText="1"/>
    </xf>
    <xf numFmtId="0" fontId="6" fillId="70" borderId="36" xfId="0" applyFont="1" applyFill="1" applyBorder="1" applyAlignment="1">
      <alignment vertical="center" wrapText="1"/>
    </xf>
    <xf numFmtId="0" fontId="6" fillId="70" borderId="37" xfId="0" applyFont="1" applyFill="1" applyBorder="1" applyAlignment="1">
      <alignment vertical="center" wrapText="1"/>
    </xf>
    <xf numFmtId="0" fontId="181" fillId="15" borderId="2" xfId="0" applyFont="1" applyFill="1" applyBorder="1" applyAlignment="1">
      <alignment horizontal="left"/>
    </xf>
    <xf numFmtId="0" fontId="181" fillId="15" borderId="4" xfId="0" applyFont="1" applyFill="1" applyBorder="1" applyAlignment="1">
      <alignment horizontal="left"/>
    </xf>
    <xf numFmtId="0" fontId="181" fillId="15" borderId="3" xfId="0" applyFont="1" applyFill="1" applyBorder="1" applyAlignment="1">
      <alignment horizontal="left"/>
    </xf>
    <xf numFmtId="0" fontId="114" fillId="3" borderId="21" xfId="0" applyFont="1" applyFill="1" applyBorder="1" applyAlignment="1">
      <alignment horizontal="left"/>
    </xf>
    <xf numFmtId="0" fontId="114" fillId="3" borderId="50" xfId="0" applyFont="1" applyFill="1" applyBorder="1" applyAlignment="1">
      <alignment horizontal="left"/>
    </xf>
    <xf numFmtId="0" fontId="114" fillId="3" borderId="45" xfId="0" applyFont="1" applyFill="1" applyBorder="1" applyAlignment="1">
      <alignment horizontal="left"/>
    </xf>
    <xf numFmtId="0" fontId="6" fillId="4" borderId="60" xfId="0" applyFont="1" applyFill="1" applyBorder="1" applyAlignment="1">
      <alignment vertical="top" wrapText="1"/>
    </xf>
    <xf numFmtId="0" fontId="39" fillId="71" borderId="60" xfId="0" applyFont="1" applyFill="1" applyBorder="1" applyAlignment="1">
      <alignment horizontal="left"/>
    </xf>
    <xf numFmtId="0" fontId="39" fillId="71" borderId="61" xfId="0" applyFont="1" applyFill="1" applyBorder="1" applyAlignment="1">
      <alignment horizontal="left"/>
    </xf>
    <xf numFmtId="0" fontId="39" fillId="71" borderId="62" xfId="0" applyFont="1" applyFill="1" applyBorder="1" applyAlignment="1">
      <alignment horizontal="left"/>
    </xf>
    <xf numFmtId="0" fontId="6" fillId="72" borderId="61" xfId="0" applyFont="1" applyFill="1" applyBorder="1" applyAlignment="1">
      <alignment horizontal="left" vertical="top"/>
    </xf>
    <xf numFmtId="0" fontId="6" fillId="72" borderId="63" xfId="0" applyFont="1" applyFill="1" applyBorder="1" applyAlignment="1">
      <alignment horizontal="left" vertical="top"/>
    </xf>
    <xf numFmtId="0" fontId="6" fillId="72" borderId="64" xfId="0" applyFont="1" applyFill="1" applyBorder="1" applyAlignment="1">
      <alignment horizontal="left" vertical="top"/>
    </xf>
    <xf numFmtId="0" fontId="6" fillId="4" borderId="64" xfId="0" applyFont="1" applyFill="1" applyBorder="1" applyAlignment="1">
      <alignment horizontal="center" vertical="center" wrapText="1"/>
    </xf>
    <xf numFmtId="0" fontId="6" fillId="4" borderId="0" xfId="0" applyFont="1" applyFill="1" applyAlignment="1">
      <alignment horizontal="center" vertical="center" wrapText="1"/>
    </xf>
    <xf numFmtId="0" fontId="78" fillId="59" borderId="17" xfId="0" applyFont="1" applyFill="1" applyBorder="1" applyAlignment="1">
      <alignment vertical="center" wrapText="1"/>
    </xf>
    <xf numFmtId="0" fontId="78" fillId="59" borderId="46" xfId="0" applyFont="1" applyFill="1" applyBorder="1" applyAlignment="1">
      <alignment vertical="center" wrapText="1"/>
    </xf>
    <xf numFmtId="0" fontId="78" fillId="59" borderId="34" xfId="0" applyFont="1" applyFill="1" applyBorder="1" applyAlignment="1">
      <alignment vertical="center" wrapText="1"/>
    </xf>
    <xf numFmtId="0" fontId="78" fillId="59" borderId="35" xfId="0" applyFont="1" applyFill="1" applyBorder="1" applyAlignment="1">
      <alignment vertical="center" wrapText="1"/>
    </xf>
    <xf numFmtId="0" fontId="78" fillId="59" borderId="37" xfId="0" applyFont="1" applyFill="1" applyBorder="1" applyAlignment="1">
      <alignment vertical="center" wrapText="1"/>
    </xf>
    <xf numFmtId="0" fontId="73" fillId="59" borderId="47" xfId="0" applyFont="1" applyFill="1" applyBorder="1" applyAlignment="1">
      <alignment vertical="center" wrapText="1"/>
    </xf>
    <xf numFmtId="0" fontId="73" fillId="59" borderId="48" xfId="0" applyFont="1" applyFill="1" applyBorder="1" applyAlignment="1">
      <alignment vertical="center" wrapText="1"/>
    </xf>
    <xf numFmtId="0" fontId="73" fillId="59" borderId="49" xfId="0" applyFont="1" applyFill="1" applyBorder="1" applyAlignment="1">
      <alignment vertical="center" wrapText="1"/>
    </xf>
    <xf numFmtId="0" fontId="126" fillId="70" borderId="86" xfId="0" applyFont="1" applyFill="1" applyBorder="1" applyAlignment="1">
      <alignment horizontal="center" vertical="center" wrapText="1"/>
    </xf>
    <xf numFmtId="0" fontId="126" fillId="70" borderId="87" xfId="0" applyFont="1" applyFill="1" applyBorder="1" applyAlignment="1">
      <alignment horizontal="center" vertical="center" wrapText="1"/>
    </xf>
    <xf numFmtId="0" fontId="126" fillId="70" borderId="90" xfId="0" applyFont="1" applyFill="1" applyBorder="1" applyAlignment="1">
      <alignment horizontal="center" vertical="center" wrapText="1"/>
    </xf>
    <xf numFmtId="0" fontId="126" fillId="70" borderId="0" xfId="0" applyFont="1" applyFill="1" applyAlignment="1">
      <alignment horizontal="center" vertical="center" wrapText="1"/>
    </xf>
    <xf numFmtId="0" fontId="126" fillId="70" borderId="91" xfId="0" applyFont="1" applyFill="1" applyBorder="1" applyAlignment="1">
      <alignment horizontal="center" vertical="center" wrapText="1"/>
    </xf>
    <xf numFmtId="0" fontId="126" fillId="70" borderId="92" xfId="0" applyFont="1" applyFill="1" applyBorder="1" applyAlignment="1">
      <alignment horizontal="center" vertical="center" wrapText="1"/>
    </xf>
    <xf numFmtId="0" fontId="13" fillId="0" borderId="5" xfId="0" applyFont="1" applyBorder="1" applyAlignment="1">
      <alignment horizontal="center" vertical="center"/>
    </xf>
    <xf numFmtId="0" fontId="13" fillId="0" borderId="11" xfId="0" applyFont="1" applyBorder="1" applyAlignment="1">
      <alignment horizontal="center" vertical="center"/>
    </xf>
    <xf numFmtId="0" fontId="13" fillId="0" borderId="7" xfId="0" applyFont="1" applyBorder="1" applyAlignment="1">
      <alignment horizontal="center" vertical="center"/>
    </xf>
    <xf numFmtId="0" fontId="13" fillId="72" borderId="79" xfId="0" applyFont="1" applyFill="1" applyBorder="1" applyAlignment="1">
      <alignment horizontal="left" vertical="top"/>
    </xf>
    <xf numFmtId="0" fontId="13" fillId="72" borderId="80" xfId="0" applyFont="1" applyFill="1" applyBorder="1" applyAlignment="1">
      <alignment horizontal="left" vertical="top"/>
    </xf>
    <xf numFmtId="0" fontId="6" fillId="0" borderId="0" xfId="0" applyFont="1" applyAlignment="1">
      <alignment horizontal="left" wrapText="1"/>
    </xf>
    <xf numFmtId="0" fontId="17" fillId="0" borderId="0" xfId="0" applyFont="1" applyAlignment="1">
      <alignment horizontal="left" vertical="center" wrapText="1"/>
    </xf>
    <xf numFmtId="0" fontId="31" fillId="0" borderId="0" xfId="0" applyFont="1" applyAlignment="1">
      <alignment horizontal="left"/>
    </xf>
    <xf numFmtId="0" fontId="0" fillId="8" borderId="2" xfId="0" applyFill="1" applyBorder="1" applyAlignment="1">
      <alignment horizontal="center" vertical="center" wrapText="1"/>
    </xf>
    <xf numFmtId="0" fontId="0" fillId="8" borderId="4" xfId="0" applyFill="1" applyBorder="1" applyAlignment="1">
      <alignment horizontal="center" vertical="center" wrapText="1"/>
    </xf>
    <xf numFmtId="0" fontId="0" fillId="8" borderId="3" xfId="0"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3" xfId="0" applyFont="1" applyFill="1" applyBorder="1" applyAlignment="1">
      <alignment horizontal="center" vertical="center" wrapText="1"/>
    </xf>
    <xf numFmtId="4" fontId="13" fillId="0" borderId="2" xfId="0" applyNumberFormat="1" applyFont="1" applyBorder="1" applyAlignment="1">
      <alignment horizontal="center" vertical="center" wrapText="1"/>
    </xf>
    <xf numFmtId="4" fontId="13" fillId="0" borderId="4" xfId="0"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0" fontId="46" fillId="15" borderId="38" xfId="0" applyFont="1" applyFill="1" applyBorder="1" applyAlignment="1">
      <alignment horizontal="center"/>
    </xf>
    <xf numFmtId="0" fontId="46" fillId="15" borderId="59" xfId="0" applyFont="1" applyFill="1" applyBorder="1" applyAlignment="1">
      <alignment horizontal="center"/>
    </xf>
    <xf numFmtId="0" fontId="13" fillId="4" borderId="2" xfId="0" applyFont="1" applyFill="1" applyBorder="1" applyAlignment="1">
      <alignment horizontal="left"/>
    </xf>
    <xf numFmtId="0" fontId="13" fillId="4" borderId="4" xfId="0" applyFont="1" applyFill="1" applyBorder="1" applyAlignment="1">
      <alignment horizontal="left"/>
    </xf>
    <xf numFmtId="0" fontId="13" fillId="4" borderId="3" xfId="0" applyFont="1" applyFill="1" applyBorder="1" applyAlignment="1">
      <alignment horizontal="left"/>
    </xf>
    <xf numFmtId="0" fontId="89" fillId="0" borderId="0" xfId="1" applyFont="1" applyBorder="1" applyAlignment="1">
      <alignment vertical="top" wrapText="1"/>
    </xf>
    <xf numFmtId="0" fontId="39" fillId="71" borderId="8" xfId="0" applyFont="1" applyFill="1" applyBorder="1" applyAlignment="1">
      <alignment horizontal="left"/>
    </xf>
    <xf numFmtId="0" fontId="39" fillId="71" borderId="10" xfId="0" applyFont="1" applyFill="1" applyBorder="1" applyAlignment="1">
      <alignment horizontal="left"/>
    </xf>
    <xf numFmtId="0" fontId="39" fillId="71" borderId="9" xfId="0" applyFont="1" applyFill="1" applyBorder="1" applyAlignment="1">
      <alignment horizontal="left"/>
    </xf>
    <xf numFmtId="0" fontId="6" fillId="72" borderId="2" xfId="0" applyFont="1" applyFill="1" applyBorder="1" applyAlignment="1">
      <alignment horizontal="left" vertical="top"/>
    </xf>
    <xf numFmtId="0" fontId="6" fillId="72" borderId="3" xfId="0" applyFont="1" applyFill="1" applyBorder="1" applyAlignment="1">
      <alignment horizontal="left" vertical="top"/>
    </xf>
    <xf numFmtId="0" fontId="6" fillId="72" borderId="5" xfId="0" applyFont="1" applyFill="1" applyBorder="1" applyAlignment="1">
      <alignment horizontal="left" vertical="top"/>
    </xf>
    <xf numFmtId="0" fontId="6" fillId="72" borderId="7" xfId="0" applyFont="1" applyFill="1" applyBorder="1" applyAlignment="1">
      <alignment horizontal="left" vertical="top"/>
    </xf>
    <xf numFmtId="0" fontId="6" fillId="72" borderId="5" xfId="0" applyFont="1" applyFill="1" applyBorder="1" applyAlignment="1">
      <alignment horizontal="left" vertical="top" wrapText="1"/>
    </xf>
    <xf numFmtId="0" fontId="6" fillId="72" borderId="7" xfId="0" applyFont="1" applyFill="1" applyBorder="1" applyAlignment="1">
      <alignment horizontal="left" vertical="top" wrapText="1"/>
    </xf>
    <xf numFmtId="0" fontId="0" fillId="0" borderId="2" xfId="0" applyBorder="1" applyAlignment="1">
      <alignment horizontal="right"/>
    </xf>
    <xf numFmtId="0" fontId="0" fillId="0" borderId="4" xfId="0" applyBorder="1" applyAlignment="1">
      <alignment horizontal="right"/>
    </xf>
    <xf numFmtId="0" fontId="0" fillId="0" borderId="3" xfId="0" applyBorder="1" applyAlignment="1">
      <alignment horizontal="right"/>
    </xf>
    <xf numFmtId="0" fontId="217" fillId="109" borderId="57" xfId="0" applyFont="1" applyFill="1" applyBorder="1" applyAlignment="1">
      <alignment horizontal="left" vertical="top"/>
    </xf>
    <xf numFmtId="0" fontId="218" fillId="110" borderId="57" xfId="0" applyFont="1" applyFill="1" applyBorder="1" applyAlignment="1">
      <alignment horizontal="left" vertical="top"/>
    </xf>
    <xf numFmtId="0" fontId="218" fillId="111" borderId="57" xfId="0" applyFont="1" applyFill="1" applyBorder="1" applyAlignment="1">
      <alignment horizontal="left" vertical="top"/>
    </xf>
    <xf numFmtId="0" fontId="0" fillId="64" borderId="101" xfId="0" applyFill="1" applyBorder="1" applyAlignment="1">
      <alignment horizontal="center"/>
    </xf>
    <xf numFmtId="0" fontId="0" fillId="64" borderId="128" xfId="0" applyFill="1" applyBorder="1" applyAlignment="1">
      <alignment horizontal="center"/>
    </xf>
    <xf numFmtId="0" fontId="6" fillId="0" borderId="101" xfId="0" applyFont="1" applyBorder="1" applyAlignment="1">
      <alignment horizontal="center"/>
    </xf>
    <xf numFmtId="0" fontId="6" fillId="0" borderId="126" xfId="0" applyFont="1" applyBorder="1" applyAlignment="1">
      <alignment horizontal="center"/>
    </xf>
    <xf numFmtId="0" fontId="6" fillId="0" borderId="128" xfId="0" applyFont="1" applyBorder="1" applyAlignment="1">
      <alignment horizontal="center"/>
    </xf>
    <xf numFmtId="0" fontId="17" fillId="0" borderId="6" xfId="1" applyFont="1" applyBorder="1" applyAlignment="1">
      <alignment horizontal="center" wrapText="1"/>
    </xf>
    <xf numFmtId="0" fontId="17" fillId="0" borderId="38" xfId="1" applyFont="1" applyBorder="1" applyAlignment="1">
      <alignment horizontal="center" wrapText="1"/>
    </xf>
    <xf numFmtId="0" fontId="20" fillId="0" borderId="10" xfId="0" applyFont="1" applyBorder="1" applyAlignment="1">
      <alignment horizontal="left"/>
    </xf>
    <xf numFmtId="0" fontId="6" fillId="63" borderId="101" xfId="0" applyFont="1" applyFill="1" applyBorder="1" applyAlignment="1">
      <alignment horizontal="center" vertical="center" wrapText="1"/>
    </xf>
    <xf numFmtId="0" fontId="6" fillId="63" borderId="126" xfId="0" applyFont="1" applyFill="1" applyBorder="1" applyAlignment="1">
      <alignment horizontal="center" vertical="center" wrapText="1"/>
    </xf>
    <xf numFmtId="0" fontId="6" fillId="63" borderId="128" xfId="0" applyFont="1" applyFill="1" applyBorder="1" applyAlignment="1">
      <alignment horizontal="center" vertical="center" wrapText="1"/>
    </xf>
    <xf numFmtId="0" fontId="0" fillId="65" borderId="101" xfId="0" applyFill="1" applyBorder="1" applyAlignment="1">
      <alignment horizontal="center"/>
    </xf>
    <xf numFmtId="0" fontId="0" fillId="65" borderId="128" xfId="0" applyFill="1" applyBorder="1" applyAlignment="1">
      <alignment horizontal="center"/>
    </xf>
    <xf numFmtId="0" fontId="5" fillId="5" borderId="2" xfId="0" applyFont="1" applyFill="1" applyBorder="1" applyAlignment="1">
      <alignment horizontal="center"/>
    </xf>
    <xf numFmtId="0" fontId="5" fillId="5" borderId="4" xfId="0" applyFont="1" applyFill="1" applyBorder="1" applyAlignment="1">
      <alignment horizontal="center"/>
    </xf>
    <xf numFmtId="0" fontId="5" fillId="5" borderId="3" xfId="0" applyFont="1" applyFill="1" applyBorder="1" applyAlignment="1">
      <alignment horizontal="center"/>
    </xf>
    <xf numFmtId="0" fontId="78" fillId="59" borderId="16" xfId="0" applyFont="1" applyFill="1" applyBorder="1" applyAlignment="1">
      <alignment vertical="center" wrapText="1"/>
    </xf>
    <xf numFmtId="0" fontId="78" fillId="59" borderId="0" xfId="0" applyFont="1" applyFill="1" applyAlignment="1">
      <alignment vertical="center" wrapText="1"/>
    </xf>
    <xf numFmtId="0" fontId="78" fillId="59" borderId="33" xfId="0" applyFont="1" applyFill="1" applyBorder="1" applyAlignment="1">
      <alignment vertical="center" wrapText="1"/>
    </xf>
    <xf numFmtId="0" fontId="6" fillId="61" borderId="36" xfId="0" applyFont="1" applyFill="1" applyBorder="1" applyAlignment="1">
      <alignment horizontal="center" vertical="center" wrapText="1"/>
    </xf>
    <xf numFmtId="0" fontId="6" fillId="61" borderId="37" xfId="0" applyFont="1" applyFill="1" applyBorder="1" applyAlignment="1">
      <alignment horizontal="center" vertical="center" wrapText="1"/>
    </xf>
    <xf numFmtId="0" fontId="78" fillId="59" borderId="21" xfId="0" applyFont="1" applyFill="1" applyBorder="1" applyAlignment="1">
      <alignment vertical="center" wrapText="1"/>
    </xf>
    <xf numFmtId="0" fontId="78" fillId="59" borderId="50" xfId="0" applyFont="1" applyFill="1" applyBorder="1" applyAlignment="1">
      <alignment vertical="center" wrapText="1"/>
    </xf>
    <xf numFmtId="0" fontId="78" fillId="59" borderId="45" xfId="0" applyFont="1" applyFill="1" applyBorder="1" applyAlignment="1">
      <alignment vertical="center" wrapText="1"/>
    </xf>
    <xf numFmtId="0" fontId="73" fillId="59" borderId="16" xfId="0" applyFont="1" applyFill="1" applyBorder="1" applyAlignment="1">
      <alignment vertical="center" wrapText="1"/>
    </xf>
    <xf numFmtId="0" fontId="73" fillId="59" borderId="0" xfId="0" applyFont="1" applyFill="1" applyAlignment="1">
      <alignment vertical="center" wrapText="1"/>
    </xf>
    <xf numFmtId="0" fontId="73" fillId="59" borderId="33" xfId="0" applyFont="1" applyFill="1" applyBorder="1" applyAlignment="1">
      <alignment vertical="center" wrapText="1"/>
    </xf>
    <xf numFmtId="0" fontId="6" fillId="4" borderId="65" xfId="0" applyFont="1" applyFill="1" applyBorder="1" applyAlignment="1">
      <alignment horizontal="left" vertical="center" wrapText="1"/>
    </xf>
    <xf numFmtId="0" fontId="6" fillId="4" borderId="67" xfId="0" applyFont="1" applyFill="1" applyBorder="1" applyAlignment="1">
      <alignment horizontal="left" vertical="center" wrapText="1"/>
    </xf>
    <xf numFmtId="0" fontId="6" fillId="76" borderId="60" xfId="0" applyFont="1" applyFill="1" applyBorder="1" applyAlignment="1">
      <alignment horizontal="left" vertical="top"/>
    </xf>
    <xf numFmtId="0" fontId="6" fillId="76" borderId="61" xfId="0" applyFont="1" applyFill="1" applyBorder="1" applyAlignment="1">
      <alignment horizontal="left" vertical="top"/>
    </xf>
    <xf numFmtId="0" fontId="39" fillId="76" borderId="61" xfId="0" applyFont="1" applyFill="1" applyBorder="1" applyAlignment="1">
      <alignment horizontal="left" vertical="top"/>
    </xf>
    <xf numFmtId="0" fontId="126" fillId="70" borderId="84" xfId="0" applyFont="1" applyFill="1" applyBorder="1" applyAlignment="1">
      <alignment horizontal="center" vertical="center" wrapText="1"/>
    </xf>
    <xf numFmtId="0" fontId="126" fillId="70" borderId="88" xfId="0" applyFont="1" applyFill="1" applyBorder="1" applyAlignment="1">
      <alignment horizontal="center" vertical="center" wrapText="1"/>
    </xf>
    <xf numFmtId="0" fontId="126" fillId="70" borderId="94" xfId="0" applyFont="1" applyFill="1" applyBorder="1" applyAlignment="1">
      <alignment horizontal="center" vertical="center" wrapText="1"/>
    </xf>
    <xf numFmtId="0" fontId="46" fillId="15" borderId="6" xfId="0" applyFont="1" applyFill="1" applyBorder="1" applyAlignment="1">
      <alignment horizontal="center"/>
    </xf>
    <xf numFmtId="2" fontId="4" fillId="4" borderId="21" xfId="74" applyNumberFormat="1" applyFont="1" applyFill="1" applyBorder="1" applyAlignment="1">
      <alignment horizontal="center" vertical="center"/>
    </xf>
    <xf numFmtId="2" fontId="4" fillId="4" borderId="50" xfId="74" applyNumberFormat="1" applyFont="1" applyFill="1" applyBorder="1" applyAlignment="1">
      <alignment horizontal="center" vertical="center"/>
    </xf>
    <xf numFmtId="2" fontId="4" fillId="4" borderId="45" xfId="74" applyNumberFormat="1" applyFont="1" applyFill="1" applyBorder="1" applyAlignment="1">
      <alignment horizontal="center" vertical="center"/>
    </xf>
    <xf numFmtId="0" fontId="181" fillId="15" borderId="6" xfId="0" applyFont="1" applyFill="1" applyBorder="1" applyAlignment="1">
      <alignment horizontal="left"/>
    </xf>
    <xf numFmtId="0" fontId="181" fillId="15" borderId="38" xfId="0" applyFont="1" applyFill="1" applyBorder="1" applyAlignment="1">
      <alignment horizontal="left"/>
    </xf>
    <xf numFmtId="0" fontId="181" fillId="15" borderId="59" xfId="0" applyFont="1" applyFill="1" applyBorder="1" applyAlignment="1">
      <alignment horizontal="left"/>
    </xf>
    <xf numFmtId="0" fontId="114" fillId="3" borderId="47" xfId="0" applyFont="1" applyFill="1" applyBorder="1" applyAlignment="1">
      <alignment horizontal="left"/>
    </xf>
    <xf numFmtId="0" fontId="114" fillId="3" borderId="49" xfId="0" applyFont="1" applyFill="1" applyBorder="1" applyAlignment="1">
      <alignment horizontal="left"/>
    </xf>
    <xf numFmtId="0" fontId="6" fillId="72" borderId="62" xfId="0" applyFont="1" applyFill="1" applyBorder="1" applyAlignment="1">
      <alignment horizontal="left" vertical="top"/>
    </xf>
    <xf numFmtId="0" fontId="16" fillId="0" borderId="61" xfId="0" applyFont="1" applyBorder="1" applyAlignment="1">
      <alignment horizontal="left" vertical="top" wrapText="1"/>
    </xf>
    <xf numFmtId="0" fontId="16" fillId="0" borderId="62" xfId="0" applyFont="1" applyBorder="1" applyAlignment="1">
      <alignment horizontal="left" vertical="top" wrapText="1"/>
    </xf>
    <xf numFmtId="169" fontId="6" fillId="4" borderId="1" xfId="0" applyNumberFormat="1" applyFont="1" applyFill="1" applyBorder="1" applyAlignment="1">
      <alignment horizontal="right" vertical="top"/>
    </xf>
    <xf numFmtId="169" fontId="6" fillId="4" borderId="2" xfId="0" applyNumberFormat="1" applyFont="1" applyFill="1" applyBorder="1" applyAlignment="1">
      <alignment horizontal="right" vertical="top"/>
    </xf>
    <xf numFmtId="169" fontId="6" fillId="4" borderId="3" xfId="0" applyNumberFormat="1" applyFont="1" applyFill="1" applyBorder="1" applyAlignment="1">
      <alignment horizontal="right" vertical="top"/>
    </xf>
    <xf numFmtId="0" fontId="6" fillId="72" borderId="65" xfId="0" applyFont="1" applyFill="1" applyBorder="1" applyAlignment="1">
      <alignment horizontal="left" vertical="top"/>
    </xf>
    <xf numFmtId="0" fontId="6" fillId="72" borderId="71" xfId="0" applyFont="1" applyFill="1" applyBorder="1" applyAlignment="1">
      <alignment horizontal="left" vertical="top"/>
    </xf>
    <xf numFmtId="0" fontId="117" fillId="0" borderId="0" xfId="0" applyFont="1" applyAlignment="1">
      <alignment wrapText="1"/>
    </xf>
    <xf numFmtId="0" fontId="117" fillId="0" borderId="69" xfId="0" applyFont="1" applyBorder="1" applyAlignment="1">
      <alignment wrapText="1"/>
    </xf>
    <xf numFmtId="0" fontId="6" fillId="4" borderId="72" xfId="0" applyFont="1" applyFill="1" applyBorder="1" applyAlignment="1">
      <alignment vertical="top" wrapText="1"/>
    </xf>
    <xf numFmtId="0" fontId="6" fillId="4" borderId="13" xfId="0" applyFont="1" applyFill="1" applyBorder="1" applyAlignment="1">
      <alignment vertical="top" wrapText="1"/>
    </xf>
    <xf numFmtId="0" fontId="6" fillId="4" borderId="9" xfId="0" applyFont="1" applyFill="1" applyBorder="1" applyAlignment="1">
      <alignment vertical="top" wrapText="1"/>
    </xf>
    <xf numFmtId="0" fontId="39" fillId="76" borderId="63" xfId="0" applyFont="1" applyFill="1" applyBorder="1" applyAlignment="1">
      <alignment horizontal="left" vertical="top"/>
    </xf>
    <xf numFmtId="0" fontId="39" fillId="76" borderId="62" xfId="0" applyFont="1" applyFill="1" applyBorder="1" applyAlignment="1">
      <alignment horizontal="left" vertical="top"/>
    </xf>
    <xf numFmtId="0" fontId="6" fillId="4" borderId="59" xfId="0" applyFont="1" applyFill="1" applyBorder="1" applyAlignment="1">
      <alignment vertical="top" wrapText="1"/>
    </xf>
    <xf numFmtId="0" fontId="6" fillId="4" borderId="73" xfId="0" applyFont="1" applyFill="1" applyBorder="1" applyAlignment="1">
      <alignment vertical="top" wrapText="1"/>
    </xf>
    <xf numFmtId="0" fontId="39" fillId="71" borderId="69" xfId="0" applyFont="1" applyFill="1" applyBorder="1" applyAlignment="1">
      <alignment horizontal="left"/>
    </xf>
    <xf numFmtId="0" fontId="6" fillId="5" borderId="0" xfId="0" applyFont="1" applyFill="1" applyAlignment="1">
      <alignment vertical="center" wrapText="1"/>
    </xf>
    <xf numFmtId="0" fontId="78" fillId="5" borderId="0" xfId="0" applyFont="1" applyFill="1" applyAlignment="1">
      <alignment horizontal="center" vertical="center" wrapText="1"/>
    </xf>
    <xf numFmtId="0" fontId="0" fillId="0" borderId="5" xfId="0" applyBorder="1" applyAlignment="1">
      <alignment horizontal="left" vertical="top" wrapText="1"/>
    </xf>
    <xf numFmtId="0" fontId="0" fillId="0" borderId="11" xfId="0" applyBorder="1" applyAlignment="1">
      <alignment horizontal="left" vertical="top" wrapText="1"/>
    </xf>
    <xf numFmtId="0" fontId="0" fillId="0" borderId="7" xfId="0" applyBorder="1" applyAlignment="1">
      <alignment horizontal="left" vertical="top" wrapText="1"/>
    </xf>
    <xf numFmtId="0" fontId="16" fillId="0" borderId="6" xfId="0" applyFont="1" applyBorder="1" applyAlignment="1">
      <alignment horizontal="left" vertical="top"/>
    </xf>
    <xf numFmtId="0" fontId="16" fillId="0" borderId="38" xfId="0" applyFont="1" applyBorder="1" applyAlignment="1">
      <alignment horizontal="left" vertical="top"/>
    </xf>
    <xf numFmtId="0" fontId="16" fillId="0" borderId="59" xfId="0" applyFont="1" applyBorder="1" applyAlignment="1">
      <alignment horizontal="left" vertical="top"/>
    </xf>
    <xf numFmtId="0" fontId="16" fillId="0" borderId="12" xfId="0" applyFont="1" applyBorder="1" applyAlignment="1">
      <alignment horizontal="left" vertical="top"/>
    </xf>
    <xf numFmtId="0" fontId="16" fillId="0" borderId="0" xfId="0" applyFont="1" applyAlignment="1">
      <alignment horizontal="left" vertical="top"/>
    </xf>
    <xf numFmtId="0" fontId="16" fillId="0" borderId="13" xfId="0" applyFont="1" applyBorder="1" applyAlignment="1">
      <alignment horizontal="left" vertical="top"/>
    </xf>
    <xf numFmtId="0" fontId="16" fillId="0" borderId="8" xfId="0" applyFont="1" applyBorder="1" applyAlignment="1">
      <alignment horizontal="left" vertical="top"/>
    </xf>
    <xf numFmtId="0" fontId="16" fillId="0" borderId="10" xfId="0" applyFont="1" applyBorder="1" applyAlignment="1">
      <alignment horizontal="left" vertical="top"/>
    </xf>
    <xf numFmtId="0" fontId="16" fillId="0" borderId="9" xfId="0" applyFont="1" applyBorder="1" applyAlignment="1">
      <alignment horizontal="left" vertical="top"/>
    </xf>
    <xf numFmtId="0" fontId="0" fillId="0" borderId="6" xfId="0" applyBorder="1" applyAlignment="1">
      <alignment horizontal="left" vertical="top"/>
    </xf>
    <xf numFmtId="0" fontId="0" fillId="0" borderId="38" xfId="0" applyBorder="1" applyAlignment="1">
      <alignment horizontal="left" vertical="top"/>
    </xf>
    <xf numFmtId="0" fontId="0" fillId="0" borderId="59" xfId="0" applyBorder="1" applyAlignment="1">
      <alignment horizontal="left" vertical="top"/>
    </xf>
    <xf numFmtId="0" fontId="0" fillId="0" borderId="12"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xf>
    <xf numFmtId="0" fontId="0" fillId="0" borderId="8" xfId="0" applyBorder="1" applyAlignment="1">
      <alignment horizontal="left" vertical="top"/>
    </xf>
    <xf numFmtId="0" fontId="0" fillId="0" borderId="10" xfId="0" applyBorder="1" applyAlignment="1">
      <alignment horizontal="left" vertical="top"/>
    </xf>
    <xf numFmtId="0" fontId="0" fillId="0" borderId="9" xfId="0" applyBorder="1" applyAlignment="1">
      <alignment horizontal="left" vertical="top"/>
    </xf>
    <xf numFmtId="0" fontId="6" fillId="103" borderId="35" xfId="0" applyFont="1" applyFill="1" applyBorder="1" applyAlignment="1">
      <alignment vertical="center" wrapText="1"/>
    </xf>
    <xf numFmtId="0" fontId="6" fillId="103" borderId="37" xfId="0" applyFont="1" applyFill="1" applyBorder="1" applyAlignment="1">
      <alignment vertical="center" wrapText="1"/>
    </xf>
    <xf numFmtId="0" fontId="39" fillId="71" borderId="0" xfId="0" applyFont="1" applyFill="1" applyAlignment="1">
      <alignment horizontal="left"/>
    </xf>
    <xf numFmtId="0" fontId="126" fillId="70" borderId="35" xfId="0" applyFont="1" applyFill="1" applyBorder="1" applyAlignment="1">
      <alignment horizontal="center" vertical="center" wrapText="1"/>
    </xf>
    <xf numFmtId="0" fontId="126" fillId="70" borderId="36" xfId="0" applyFont="1" applyFill="1" applyBorder="1" applyAlignment="1">
      <alignment horizontal="center" vertical="center" wrapText="1"/>
    </xf>
    <xf numFmtId="0" fontId="126" fillId="70" borderId="37" xfId="0" applyFont="1" applyFill="1" applyBorder="1" applyAlignment="1">
      <alignment horizontal="center" vertical="center" wrapText="1"/>
    </xf>
    <xf numFmtId="0" fontId="218" fillId="115" borderId="57" xfId="0" applyFont="1" applyFill="1" applyBorder="1" applyAlignment="1">
      <alignment horizontal="left" vertical="top"/>
    </xf>
    <xf numFmtId="0" fontId="78" fillId="59" borderId="47" xfId="0" applyFont="1" applyFill="1" applyBorder="1" applyAlignment="1">
      <alignment vertical="center" wrapText="1"/>
    </xf>
    <xf numFmtId="0" fontId="78" fillId="59" borderId="48" xfId="0" applyFont="1" applyFill="1" applyBorder="1" applyAlignment="1">
      <alignment vertical="center" wrapText="1"/>
    </xf>
    <xf numFmtId="0" fontId="78" fillId="59" borderId="49" xfId="0" applyFont="1" applyFill="1" applyBorder="1" applyAlignment="1">
      <alignment vertical="center" wrapText="1"/>
    </xf>
    <xf numFmtId="0" fontId="126" fillId="80" borderId="35" xfId="0" applyFont="1" applyFill="1" applyBorder="1" applyAlignment="1">
      <alignment horizontal="center" vertical="center" wrapText="1"/>
    </xf>
    <xf numFmtId="0" fontId="126" fillId="80" borderId="37" xfId="0" applyFont="1" applyFill="1" applyBorder="1" applyAlignment="1">
      <alignment horizontal="center" vertical="center" wrapText="1"/>
    </xf>
    <xf numFmtId="165" fontId="102" fillId="16" borderId="2" xfId="3" applyFont="1" applyFill="1" applyBorder="1" applyAlignment="1">
      <alignment horizontal="left" vertical="center"/>
    </xf>
    <xf numFmtId="165" fontId="102" fillId="16" borderId="3" xfId="3" applyFont="1" applyFill="1" applyBorder="1" applyAlignment="1">
      <alignment horizontal="left" vertical="center"/>
    </xf>
    <xf numFmtId="165" fontId="49" fillId="15" borderId="12" xfId="3" applyFont="1" applyFill="1" applyBorder="1" applyAlignment="1">
      <alignment horizontal="left"/>
    </xf>
    <xf numFmtId="165" fontId="49" fillId="15" borderId="0" xfId="3" applyFont="1" applyFill="1" applyAlignment="1">
      <alignment horizontal="left"/>
    </xf>
    <xf numFmtId="165" fontId="8" fillId="4" borderId="51" xfId="3" applyFont="1" applyFill="1" applyBorder="1" applyAlignment="1">
      <alignment horizontal="left" vertical="center" wrapText="1"/>
    </xf>
    <xf numFmtId="165" fontId="8" fillId="4" borderId="52" xfId="3" applyFont="1" applyFill="1" applyBorder="1" applyAlignment="1">
      <alignment horizontal="left" vertical="center" wrapText="1"/>
    </xf>
    <xf numFmtId="165" fontId="8" fillId="4" borderId="32" xfId="3" applyFont="1" applyFill="1" applyBorder="1" applyAlignment="1">
      <alignment horizontal="left" vertical="center" wrapText="1"/>
    </xf>
    <xf numFmtId="165" fontId="25" fillId="14" borderId="2" xfId="3" applyFont="1" applyFill="1" applyBorder="1" applyAlignment="1">
      <alignment horizontal="left" vertical="center" wrapText="1"/>
    </xf>
    <xf numFmtId="165" fontId="25" fillId="14" borderId="4" xfId="3" applyFont="1" applyFill="1" applyBorder="1" applyAlignment="1">
      <alignment horizontal="left" vertical="center" wrapText="1"/>
    </xf>
    <xf numFmtId="165" fontId="25" fillId="14" borderId="3" xfId="3" applyFont="1" applyFill="1" applyBorder="1" applyAlignment="1">
      <alignment horizontal="left" vertical="center" wrapText="1"/>
    </xf>
    <xf numFmtId="165" fontId="8" fillId="0" borderId="2" xfId="3" applyFont="1" applyBorder="1" applyAlignment="1">
      <alignment horizontal="left" vertical="center" wrapText="1"/>
    </xf>
    <xf numFmtId="165" fontId="8" fillId="0" borderId="4" xfId="3" applyFont="1" applyBorder="1" applyAlignment="1">
      <alignment horizontal="left" vertical="center" wrapText="1"/>
    </xf>
    <xf numFmtId="165" fontId="8" fillId="0" borderId="3" xfId="3" applyFont="1" applyBorder="1" applyAlignment="1">
      <alignment horizontal="left" vertical="center" wrapText="1"/>
    </xf>
    <xf numFmtId="165" fontId="101" fillId="4" borderId="2" xfId="3" applyFont="1" applyFill="1" applyBorder="1" applyAlignment="1">
      <alignment horizontal="left" vertical="center" wrapText="1"/>
    </xf>
    <xf numFmtId="165" fontId="101" fillId="4" borderId="4" xfId="3" applyFont="1" applyFill="1" applyBorder="1" applyAlignment="1">
      <alignment horizontal="left" vertical="center" wrapText="1"/>
    </xf>
    <xf numFmtId="165" fontId="101" fillId="4" borderId="3" xfId="3" applyFont="1" applyFill="1" applyBorder="1" applyAlignment="1">
      <alignment horizontal="left" vertical="center" wrapText="1"/>
    </xf>
    <xf numFmtId="165" fontId="102" fillId="16" borderId="2" xfId="3" applyFont="1" applyFill="1" applyBorder="1" applyAlignment="1" applyProtection="1">
      <alignment horizontal="left" vertical="center"/>
      <protection locked="0"/>
    </xf>
    <xf numFmtId="165" fontId="102" fillId="16" borderId="3" xfId="3" applyFont="1" applyFill="1" applyBorder="1" applyAlignment="1" applyProtection="1">
      <alignment horizontal="left" vertical="center"/>
      <protection locked="0"/>
    </xf>
    <xf numFmtId="165" fontId="49" fillId="15" borderId="2" xfId="3" applyFont="1" applyFill="1" applyBorder="1" applyAlignment="1">
      <alignment horizontal="left"/>
    </xf>
    <xf numFmtId="165" fontId="49" fillId="15" borderId="4" xfId="3" applyFont="1" applyFill="1" applyBorder="1" applyAlignment="1">
      <alignment horizontal="left"/>
    </xf>
    <xf numFmtId="165" fontId="49" fillId="15" borderId="3" xfId="3" applyFont="1" applyFill="1" applyBorder="1" applyAlignment="1">
      <alignment horizontal="left"/>
    </xf>
    <xf numFmtId="165" fontId="102" fillId="16" borderId="98" xfId="3" applyFont="1" applyFill="1" applyBorder="1" applyAlignment="1" applyProtection="1">
      <alignment horizontal="left" vertical="center"/>
      <protection locked="0"/>
    </xf>
    <xf numFmtId="165" fontId="102" fillId="16" borderId="165" xfId="3" applyFont="1" applyFill="1" applyBorder="1" applyAlignment="1" applyProtection="1">
      <alignment horizontal="left" vertical="center"/>
      <protection locked="0"/>
    </xf>
    <xf numFmtId="165" fontId="102" fillId="16" borderId="6" xfId="3" applyFont="1" applyFill="1" applyBorder="1" applyAlignment="1" applyProtection="1">
      <alignment horizontal="left" vertical="center"/>
      <protection locked="0"/>
    </xf>
    <xf numFmtId="165" fontId="102" fillId="16" borderId="59" xfId="3" applyFont="1" applyFill="1" applyBorder="1" applyAlignment="1" applyProtection="1">
      <alignment horizontal="left" vertical="center"/>
      <protection locked="0"/>
    </xf>
    <xf numFmtId="0" fontId="25" fillId="14" borderId="2" xfId="3" applyNumberFormat="1" applyFont="1" applyFill="1" applyBorder="1" applyAlignment="1">
      <alignment horizontal="left" vertical="center" wrapText="1"/>
    </xf>
    <xf numFmtId="0" fontId="25" fillId="14" borderId="4" xfId="3" applyNumberFormat="1" applyFont="1" applyFill="1" applyBorder="1" applyAlignment="1">
      <alignment horizontal="left" vertical="center" wrapText="1"/>
    </xf>
    <xf numFmtId="0" fontId="25" fillId="14" borderId="3" xfId="3" applyNumberFormat="1" applyFont="1" applyFill="1" applyBorder="1" applyAlignment="1">
      <alignment horizontal="left" vertical="center" wrapText="1"/>
    </xf>
    <xf numFmtId="165" fontId="28" fillId="4" borderId="2" xfId="3" applyFont="1" applyFill="1" applyBorder="1" applyAlignment="1">
      <alignment horizontal="left" vertical="center" wrapText="1"/>
    </xf>
    <xf numFmtId="165" fontId="28" fillId="4" borderId="3" xfId="3" applyFont="1" applyFill="1" applyBorder="1" applyAlignment="1">
      <alignment horizontal="left" vertical="center" wrapText="1"/>
    </xf>
    <xf numFmtId="165" fontId="1" fillId="14" borderId="2" xfId="3" applyFont="1" applyFill="1" applyBorder="1" applyAlignment="1">
      <alignment horizontal="left" vertical="center" wrapText="1"/>
    </xf>
    <xf numFmtId="165" fontId="1" fillId="14" borderId="4" xfId="3" applyFont="1" applyFill="1" applyBorder="1" applyAlignment="1">
      <alignment horizontal="left" vertical="center" wrapText="1"/>
    </xf>
    <xf numFmtId="165" fontId="1" fillId="14" borderId="3" xfId="3" applyFont="1" applyFill="1" applyBorder="1" applyAlignment="1">
      <alignment horizontal="left" vertical="center" wrapText="1"/>
    </xf>
    <xf numFmtId="165" fontId="50" fillId="16" borderId="2" xfId="3" applyFont="1" applyFill="1" applyBorder="1" applyAlignment="1" applyProtection="1">
      <alignment horizontal="left" vertical="center"/>
      <protection locked="0"/>
    </xf>
    <xf numFmtId="165" fontId="50" fillId="16" borderId="3" xfId="3" applyFont="1" applyFill="1" applyBorder="1" applyAlignment="1" applyProtection="1">
      <alignment horizontal="left" vertical="center"/>
      <protection locked="0"/>
    </xf>
    <xf numFmtId="165" fontId="28" fillId="4" borderId="51" xfId="3" applyFont="1" applyFill="1" applyBorder="1" applyAlignment="1">
      <alignment horizontal="left" vertical="center" wrapText="1"/>
    </xf>
    <xf numFmtId="165" fontId="28" fillId="4" borderId="32" xfId="3" applyFont="1" applyFill="1" applyBorder="1" applyAlignment="1">
      <alignment horizontal="left" vertical="center" wrapText="1"/>
    </xf>
    <xf numFmtId="165" fontId="169" fillId="15" borderId="12" xfId="3" applyFont="1" applyFill="1" applyBorder="1" applyAlignment="1">
      <alignment horizontal="left"/>
    </xf>
    <xf numFmtId="165" fontId="169" fillId="15" borderId="0" xfId="3" applyFont="1" applyFill="1" applyAlignment="1">
      <alignment horizontal="left"/>
    </xf>
    <xf numFmtId="165" fontId="23" fillId="0" borderId="2" xfId="3" applyFont="1" applyBorder="1" applyAlignment="1">
      <alignment horizontal="left" vertical="center" wrapText="1"/>
    </xf>
    <xf numFmtId="165" fontId="23" fillId="0" borderId="4" xfId="3" applyFont="1" applyBorder="1" applyAlignment="1">
      <alignment horizontal="left" vertical="center" wrapText="1"/>
    </xf>
    <xf numFmtId="165" fontId="23" fillId="0" borderId="3" xfId="3" applyFont="1" applyBorder="1" applyAlignment="1">
      <alignment horizontal="left" vertical="center" wrapText="1"/>
    </xf>
    <xf numFmtId="165" fontId="23" fillId="0" borderId="2" xfId="3" applyFont="1" applyBorder="1" applyAlignment="1">
      <alignment horizontal="left" vertical="top" wrapText="1"/>
    </xf>
    <xf numFmtId="165" fontId="23" fillId="0" borderId="4" xfId="3" applyFont="1" applyBorder="1" applyAlignment="1">
      <alignment horizontal="left" vertical="top" wrapText="1"/>
    </xf>
    <xf numFmtId="165" fontId="23" fillId="0" borderId="3" xfId="3" applyFont="1" applyBorder="1" applyAlignment="1">
      <alignment horizontal="left" vertical="top" wrapText="1"/>
    </xf>
    <xf numFmtId="165" fontId="20" fillId="129" borderId="51" xfId="3" applyFont="1" applyFill="1" applyBorder="1" applyAlignment="1">
      <alignment horizontal="left" vertical="center" wrapText="1"/>
    </xf>
    <xf numFmtId="165" fontId="20" fillId="129" borderId="52" xfId="3" applyFont="1" applyFill="1" applyBorder="1" applyAlignment="1">
      <alignment horizontal="left" vertical="center" wrapText="1"/>
    </xf>
    <xf numFmtId="165" fontId="20" fillId="129" borderId="32" xfId="3" applyFont="1" applyFill="1" applyBorder="1" applyAlignment="1">
      <alignment horizontal="left" vertical="center" wrapText="1"/>
    </xf>
    <xf numFmtId="165" fontId="20" fillId="4" borderId="51" xfId="3" applyFont="1" applyFill="1" applyBorder="1" applyAlignment="1">
      <alignment horizontal="left" vertical="center" wrapText="1"/>
    </xf>
    <xf numFmtId="165" fontId="20" fillId="4" borderId="32" xfId="3" applyFont="1" applyFill="1" applyBorder="1" applyAlignment="1">
      <alignment horizontal="left" vertical="center" wrapText="1"/>
    </xf>
    <xf numFmtId="165" fontId="20" fillId="70" borderId="51" xfId="3" applyFont="1" applyFill="1" applyBorder="1" applyAlignment="1">
      <alignment horizontal="left" vertical="center" wrapText="1"/>
    </xf>
    <xf numFmtId="165" fontId="20" fillId="70" borderId="52" xfId="3" applyFont="1" applyFill="1" applyBorder="1" applyAlignment="1">
      <alignment horizontal="left" vertical="center" wrapText="1"/>
    </xf>
    <xf numFmtId="165" fontId="20" fillId="70" borderId="32" xfId="3" applyFont="1" applyFill="1" applyBorder="1" applyAlignment="1">
      <alignment horizontal="left" vertical="center" wrapText="1"/>
    </xf>
    <xf numFmtId="165" fontId="20" fillId="4" borderId="52" xfId="3" applyFont="1" applyFill="1" applyBorder="1" applyAlignment="1">
      <alignment horizontal="left" vertical="center" wrapText="1"/>
    </xf>
    <xf numFmtId="165" fontId="1" fillId="14" borderId="77" xfId="3" applyFont="1" applyFill="1" applyBorder="1" applyAlignment="1">
      <alignment horizontal="left" vertical="center" wrapText="1"/>
    </xf>
    <xf numFmtId="165" fontId="49" fillId="15" borderId="0" xfId="3" applyFont="1" applyFill="1" applyBorder="1" applyAlignment="1">
      <alignment horizontal="left"/>
    </xf>
    <xf numFmtId="165" fontId="9" fillId="0" borderId="2" xfId="3" applyFont="1" applyBorder="1" applyAlignment="1">
      <alignment horizontal="left" vertical="center" wrapText="1"/>
    </xf>
    <xf numFmtId="165" fontId="9" fillId="0" borderId="4" xfId="3" applyFont="1" applyBorder="1" applyAlignment="1">
      <alignment horizontal="left" vertical="center" wrapText="1"/>
    </xf>
    <xf numFmtId="165" fontId="9" fillId="0" borderId="3" xfId="3" applyFont="1" applyBorder="1" applyAlignment="1">
      <alignment horizontal="left" vertical="center" wrapText="1"/>
    </xf>
    <xf numFmtId="165" fontId="102" fillId="16" borderId="38" xfId="3" applyFont="1" applyFill="1" applyBorder="1" applyAlignment="1" applyProtection="1">
      <alignment horizontal="left" vertical="center"/>
      <protection locked="0"/>
    </xf>
    <xf numFmtId="165" fontId="71" fillId="73" borderId="23" xfId="3" applyFont="1" applyFill="1" applyBorder="1" applyAlignment="1" applyProtection="1">
      <alignment horizontal="left" vertical="center" wrapText="1"/>
    </xf>
    <xf numFmtId="165" fontId="71" fillId="73" borderId="40" xfId="3" applyFont="1" applyFill="1" applyBorder="1" applyAlignment="1" applyProtection="1">
      <alignment horizontal="left" vertical="center" wrapText="1"/>
    </xf>
    <xf numFmtId="165" fontId="179" fillId="97" borderId="12" xfId="3" applyFont="1" applyFill="1" applyBorder="1" applyAlignment="1">
      <alignment horizontal="left"/>
    </xf>
    <xf numFmtId="165" fontId="179" fillId="97" borderId="0" xfId="3" applyFont="1" applyFill="1" applyAlignment="1">
      <alignment horizontal="left"/>
    </xf>
    <xf numFmtId="165" fontId="173" fillId="97" borderId="0" xfId="3" applyFont="1" applyFill="1" applyAlignment="1">
      <alignment horizontal="left" vertical="center" wrapText="1"/>
    </xf>
    <xf numFmtId="165" fontId="49" fillId="15" borderId="2" xfId="3" applyFont="1" applyFill="1" applyBorder="1" applyAlignment="1">
      <alignment horizontal="left" vertical="center" wrapText="1"/>
    </xf>
    <xf numFmtId="165" fontId="49" fillId="15" borderId="4" xfId="3" applyFont="1" applyFill="1" applyBorder="1" applyAlignment="1">
      <alignment horizontal="left" vertical="center" wrapText="1"/>
    </xf>
    <xf numFmtId="165" fontId="102" fillId="16" borderId="6" xfId="3" applyFont="1" applyFill="1" applyBorder="1" applyAlignment="1">
      <alignment horizontal="left" vertical="center"/>
    </xf>
    <xf numFmtId="165" fontId="102" fillId="16" borderId="59" xfId="3" applyFont="1" applyFill="1" applyBorder="1" applyAlignment="1">
      <alignment horizontal="left" vertical="center"/>
    </xf>
    <xf numFmtId="165" fontId="196" fillId="0" borderId="12" xfId="3" applyFont="1" applyBorder="1" applyAlignment="1">
      <alignment horizontal="left" vertical="center" wrapText="1" indent="1"/>
    </xf>
    <xf numFmtId="165" fontId="196" fillId="0" borderId="0" xfId="3" applyFont="1" applyAlignment="1">
      <alignment horizontal="left" vertical="center" wrapText="1" indent="1"/>
    </xf>
    <xf numFmtId="165" fontId="198" fillId="0" borderId="12" xfId="3" applyFont="1" applyBorder="1" applyAlignment="1">
      <alignment horizontal="left" vertical="center" wrapText="1" indent="1"/>
    </xf>
    <xf numFmtId="165" fontId="198" fillId="0" borderId="0" xfId="3" applyFont="1" applyAlignment="1">
      <alignment horizontal="left" vertical="center" wrapText="1" indent="1"/>
    </xf>
    <xf numFmtId="165" fontId="49" fillId="104" borderId="12" xfId="3" applyFont="1" applyFill="1" applyBorder="1" applyAlignment="1">
      <alignment horizontal="left"/>
    </xf>
    <xf numFmtId="165" fontId="49" fillId="104" borderId="0" xfId="3" applyFont="1" applyFill="1" applyBorder="1" applyAlignment="1">
      <alignment horizontal="left"/>
    </xf>
    <xf numFmtId="165" fontId="101" fillId="4" borderId="2" xfId="3" applyFont="1" applyFill="1" applyBorder="1" applyAlignment="1">
      <alignment vertical="center" wrapText="1"/>
    </xf>
    <xf numFmtId="165" fontId="101" fillId="4" borderId="4" xfId="3" applyFont="1" applyFill="1" applyBorder="1" applyAlignment="1">
      <alignment vertical="center" wrapText="1"/>
    </xf>
    <xf numFmtId="165" fontId="101" fillId="4" borderId="3" xfId="3" applyFont="1" applyFill="1" applyBorder="1" applyAlignment="1">
      <alignment vertical="center" wrapText="1"/>
    </xf>
    <xf numFmtId="165" fontId="171" fillId="97" borderId="12" xfId="3" applyFont="1" applyFill="1" applyBorder="1" applyAlignment="1">
      <alignment horizontal="left"/>
    </xf>
    <xf numFmtId="165" fontId="171" fillId="97" borderId="0" xfId="3" applyFont="1" applyFill="1" applyAlignment="1">
      <alignment horizontal="left"/>
    </xf>
    <xf numFmtId="165" fontId="171" fillId="97" borderId="13" xfId="3" applyFont="1" applyFill="1" applyBorder="1" applyAlignment="1">
      <alignment horizontal="left"/>
    </xf>
    <xf numFmtId="0" fontId="205" fillId="0" borderId="12" xfId="3" applyNumberFormat="1" applyFont="1" applyBorder="1" applyAlignment="1">
      <alignment horizontal="left" vertical="center" wrapText="1"/>
    </xf>
    <xf numFmtId="0" fontId="205" fillId="0" borderId="0" xfId="3" applyNumberFormat="1" applyFont="1" applyAlignment="1">
      <alignment horizontal="left" vertical="center" wrapText="1"/>
    </xf>
    <xf numFmtId="165" fontId="169" fillId="15" borderId="0" xfId="3" applyFont="1" applyFill="1" applyBorder="1" applyAlignment="1">
      <alignment horizontal="left"/>
    </xf>
    <xf numFmtId="165" fontId="20" fillId="8" borderId="12" xfId="3" applyFont="1" applyFill="1" applyBorder="1" applyAlignment="1">
      <alignment horizontal="left" vertical="center" wrapText="1"/>
    </xf>
    <xf numFmtId="165" fontId="20" fillId="8" borderId="0" xfId="3" applyFont="1" applyFill="1" applyBorder="1" applyAlignment="1">
      <alignment horizontal="left" vertical="center" wrapText="1"/>
    </xf>
    <xf numFmtId="165" fontId="23" fillId="13" borderId="47" xfId="3" applyFont="1" applyFill="1" applyBorder="1" applyAlignment="1">
      <alignment horizontal="left" vertical="center" wrapText="1"/>
    </xf>
    <xf numFmtId="165" fontId="23" fillId="13" borderId="49" xfId="3" applyFont="1" applyFill="1" applyBorder="1" applyAlignment="1">
      <alignment horizontal="left" vertical="center" wrapText="1"/>
    </xf>
    <xf numFmtId="165" fontId="23" fillId="13" borderId="193" xfId="3" applyFont="1" applyFill="1" applyBorder="1" applyAlignment="1">
      <alignment horizontal="left" vertical="center" wrapText="1"/>
    </xf>
    <xf numFmtId="165" fontId="23" fillId="13" borderId="176" xfId="3" applyFont="1" applyFill="1" applyBorder="1" applyAlignment="1">
      <alignment horizontal="left" vertical="center" wrapText="1"/>
    </xf>
    <xf numFmtId="165" fontId="23" fillId="13" borderId="23" xfId="3" applyFont="1" applyFill="1" applyBorder="1" applyAlignment="1">
      <alignment horizontal="left" vertical="center" wrapText="1"/>
    </xf>
    <xf numFmtId="165" fontId="23" fillId="13" borderId="40" xfId="3" applyFont="1" applyFill="1" applyBorder="1" applyAlignment="1">
      <alignment horizontal="left" vertical="center" wrapText="1"/>
    </xf>
    <xf numFmtId="165" fontId="95" fillId="0" borderId="0" xfId="3" applyFont="1" applyBorder="1" applyAlignment="1">
      <alignment horizontal="left" vertical="center" wrapText="1"/>
    </xf>
    <xf numFmtId="165" fontId="95" fillId="0" borderId="0" xfId="3" applyFont="1" applyAlignment="1">
      <alignment horizontal="left" vertical="center" wrapText="1"/>
    </xf>
    <xf numFmtId="165" fontId="20" fillId="13" borderId="21" xfId="3" applyFont="1" applyFill="1" applyBorder="1" applyAlignment="1">
      <alignment horizontal="left" vertical="center"/>
    </xf>
    <xf numFmtId="165" fontId="20" fillId="13" borderId="50" xfId="3" applyFont="1" applyFill="1" applyBorder="1" applyAlignment="1">
      <alignment horizontal="left" vertical="center"/>
    </xf>
    <xf numFmtId="165" fontId="20" fillId="13" borderId="45" xfId="3" applyFont="1" applyFill="1" applyBorder="1" applyAlignment="1">
      <alignment horizontal="left" vertical="center"/>
    </xf>
    <xf numFmtId="165" fontId="101" fillId="8" borderId="2" xfId="3" applyFont="1" applyFill="1" applyBorder="1" applyAlignment="1">
      <alignment horizontal="left" vertical="center"/>
    </xf>
    <xf numFmtId="165" fontId="101" fillId="8" borderId="3" xfId="3" applyFont="1" applyFill="1" applyBorder="1" applyAlignment="1">
      <alignment horizontal="left" vertical="center"/>
    </xf>
    <xf numFmtId="165" fontId="23" fillId="13" borderId="6" xfId="3" applyFont="1" applyFill="1" applyBorder="1" applyAlignment="1">
      <alignment horizontal="left" vertical="center" wrapText="1"/>
    </xf>
    <xf numFmtId="165" fontId="23" fillId="13" borderId="59" xfId="3" applyFont="1" applyFill="1" applyBorder="1" applyAlignment="1">
      <alignment horizontal="left" vertical="center" wrapText="1"/>
    </xf>
    <xf numFmtId="165" fontId="23" fillId="13" borderId="8" xfId="3" applyFont="1" applyFill="1" applyBorder="1" applyAlignment="1">
      <alignment horizontal="left" vertical="center" wrapText="1"/>
    </xf>
    <xf numFmtId="165" fontId="23" fillId="13" borderId="9" xfId="3" applyFont="1" applyFill="1" applyBorder="1" applyAlignment="1">
      <alignment horizontal="left" vertical="center" wrapText="1"/>
    </xf>
    <xf numFmtId="165" fontId="20" fillId="4" borderId="2" xfId="3" applyFont="1" applyFill="1" applyBorder="1" applyAlignment="1">
      <alignment horizontal="left" vertical="center" wrapText="1"/>
    </xf>
    <xf numFmtId="165" fontId="20" fillId="4" borderId="4" xfId="3" applyFont="1" applyFill="1" applyBorder="1" applyAlignment="1">
      <alignment horizontal="left" vertical="center" wrapText="1"/>
    </xf>
    <xf numFmtId="165" fontId="20" fillId="4" borderId="3" xfId="3" applyFont="1" applyFill="1" applyBorder="1" applyAlignment="1">
      <alignment horizontal="left" vertical="center" wrapText="1"/>
    </xf>
    <xf numFmtId="165" fontId="20" fillId="8" borderId="6" xfId="3" applyFont="1" applyFill="1" applyBorder="1" applyAlignment="1">
      <alignment horizontal="left" vertical="center" wrapText="1"/>
    </xf>
    <xf numFmtId="165" fontId="20" fillId="8" borderId="38" xfId="3" applyFont="1" applyFill="1" applyBorder="1" applyAlignment="1">
      <alignment horizontal="left" vertical="center" wrapText="1"/>
    </xf>
    <xf numFmtId="165" fontId="20" fillId="58" borderId="6" xfId="3" applyFont="1" applyFill="1" applyBorder="1" applyAlignment="1">
      <alignment horizontal="left" vertical="center" wrapText="1"/>
    </xf>
    <xf numFmtId="165" fontId="20" fillId="58" borderId="38" xfId="3" applyFont="1" applyFill="1" applyBorder="1" applyAlignment="1">
      <alignment horizontal="left" vertical="center" wrapText="1"/>
    </xf>
    <xf numFmtId="165" fontId="50" fillId="16" borderId="77" xfId="3" applyFont="1" applyFill="1" applyBorder="1" applyAlignment="1" applyProtection="1">
      <alignment horizontal="left" vertical="center"/>
      <protection locked="0"/>
    </xf>
    <xf numFmtId="165" fontId="20" fillId="7" borderId="12" xfId="3" applyFont="1" applyFill="1" applyBorder="1" applyAlignment="1">
      <alignment horizontal="left" vertical="center" wrapText="1"/>
    </xf>
    <xf numFmtId="165" fontId="20" fillId="7" borderId="0" xfId="3" applyFont="1" applyFill="1" applyAlignment="1">
      <alignment horizontal="left" vertical="center" wrapText="1"/>
    </xf>
    <xf numFmtId="165" fontId="20" fillId="7" borderId="6" xfId="3" applyFont="1" applyFill="1" applyBorder="1" applyAlignment="1">
      <alignment horizontal="left" vertical="center" wrapText="1"/>
    </xf>
    <xf numFmtId="165" fontId="20" fillId="7" borderId="38" xfId="3" applyFont="1" applyFill="1" applyBorder="1" applyAlignment="1">
      <alignment horizontal="left" vertical="center" wrapText="1"/>
    </xf>
    <xf numFmtId="165" fontId="20" fillId="7" borderId="59" xfId="3" applyFont="1" applyFill="1" applyBorder="1" applyAlignment="1">
      <alignment horizontal="left" vertical="center" wrapText="1"/>
    </xf>
    <xf numFmtId="165" fontId="97" fillId="15" borderId="2" xfId="3" applyFont="1" applyFill="1" applyBorder="1" applyAlignment="1">
      <alignment horizontal="left"/>
    </xf>
    <xf numFmtId="165" fontId="97" fillId="15" borderId="4" xfId="3" applyFont="1" applyFill="1" applyBorder="1" applyAlignment="1">
      <alignment horizontal="left"/>
    </xf>
    <xf numFmtId="165" fontId="20" fillId="7" borderId="0" xfId="3" applyFont="1" applyFill="1" applyBorder="1" applyAlignment="1">
      <alignment horizontal="left" vertical="center" wrapText="1"/>
    </xf>
    <xf numFmtId="165" fontId="0" fillId="14" borderId="2" xfId="3" applyFont="1" applyFill="1" applyBorder="1" applyAlignment="1">
      <alignment horizontal="left" vertical="center" wrapText="1"/>
    </xf>
    <xf numFmtId="165" fontId="0" fillId="14" borderId="4" xfId="3" applyFont="1" applyFill="1" applyBorder="1" applyAlignment="1">
      <alignment horizontal="left" vertical="center" wrapText="1"/>
    </xf>
    <xf numFmtId="165" fontId="0" fillId="14" borderId="3" xfId="3" applyFont="1" applyFill="1" applyBorder="1" applyAlignment="1">
      <alignment horizontal="left" vertical="center" wrapText="1"/>
    </xf>
    <xf numFmtId="165" fontId="20" fillId="9" borderId="51" xfId="3" applyFont="1" applyFill="1" applyBorder="1" applyAlignment="1">
      <alignment horizontal="left" vertical="center" wrapText="1"/>
    </xf>
    <xf numFmtId="165" fontId="20" fillId="9" borderId="52" xfId="3" applyFont="1" applyFill="1" applyBorder="1" applyAlignment="1">
      <alignment horizontal="left" vertical="center" wrapText="1"/>
    </xf>
    <xf numFmtId="165" fontId="20" fillId="9" borderId="32" xfId="3" applyFont="1" applyFill="1" applyBorder="1" applyAlignment="1">
      <alignment horizontal="left" vertical="center" wrapText="1"/>
    </xf>
    <xf numFmtId="165" fontId="0" fillId="14" borderId="77" xfId="3" applyFont="1" applyFill="1" applyBorder="1" applyAlignment="1">
      <alignment horizontal="left" vertical="center" wrapText="1"/>
    </xf>
    <xf numFmtId="165" fontId="20" fillId="4" borderId="2" xfId="3" applyFont="1" applyFill="1" applyBorder="1" applyAlignment="1">
      <alignment horizontal="left"/>
    </xf>
    <xf numFmtId="165" fontId="20" fillId="4" borderId="3" xfId="3" applyFont="1" applyFill="1" applyBorder="1" applyAlignment="1">
      <alignment horizontal="left"/>
    </xf>
    <xf numFmtId="165" fontId="108" fillId="16" borderId="6" xfId="3" applyFont="1" applyFill="1" applyBorder="1" applyAlignment="1">
      <alignment horizontal="left" vertical="center"/>
    </xf>
    <xf numFmtId="165" fontId="108" fillId="16" borderId="59" xfId="3" applyFont="1" applyFill="1" applyBorder="1" applyAlignment="1">
      <alignment horizontal="left" vertical="center"/>
    </xf>
    <xf numFmtId="49" fontId="95" fillId="0" borderId="38" xfId="3" applyNumberFormat="1" applyFont="1" applyBorder="1" applyAlignment="1">
      <alignment horizontal="center" vertical="top" wrapText="1"/>
    </xf>
    <xf numFmtId="49" fontId="95" fillId="0" borderId="0" xfId="3" applyNumberFormat="1" applyFont="1" applyBorder="1" applyAlignment="1">
      <alignment horizontal="center" vertical="top" wrapText="1"/>
    </xf>
    <xf numFmtId="165" fontId="20" fillId="4" borderId="2" xfId="3" applyFont="1" applyFill="1" applyBorder="1" applyAlignment="1">
      <alignment horizontal="left" wrapText="1"/>
    </xf>
    <xf numFmtId="165" fontId="20" fillId="4" borderId="3" xfId="3" applyFont="1" applyFill="1" applyBorder="1" applyAlignment="1">
      <alignment horizontal="left" wrapText="1"/>
    </xf>
    <xf numFmtId="165" fontId="16" fillId="0" borderId="0" xfId="3" applyFont="1" applyAlignment="1">
      <alignment horizontal="left" vertical="center"/>
    </xf>
    <xf numFmtId="165" fontId="6" fillId="14" borderId="77" xfId="3" applyFont="1" applyFill="1" applyBorder="1" applyAlignment="1">
      <alignment horizontal="left" vertical="center" wrapText="1"/>
    </xf>
    <xf numFmtId="165" fontId="6" fillId="14" borderId="4" xfId="3" applyFont="1" applyFill="1" applyBorder="1" applyAlignment="1">
      <alignment horizontal="left" vertical="center" wrapText="1"/>
    </xf>
    <xf numFmtId="165" fontId="6" fillId="14" borderId="3" xfId="3" applyFont="1" applyFill="1" applyBorder="1" applyAlignment="1">
      <alignment horizontal="left" vertical="center" wrapText="1"/>
    </xf>
    <xf numFmtId="165" fontId="25" fillId="0" borderId="0" xfId="3" applyFont="1" applyAlignment="1">
      <alignment horizontal="left" vertical="center"/>
    </xf>
    <xf numFmtId="0" fontId="8" fillId="0" borderId="101" xfId="0" applyFont="1" applyBorder="1"/>
    <xf numFmtId="0" fontId="8" fillId="0" borderId="126" xfId="0" applyFont="1" applyBorder="1"/>
    <xf numFmtId="0" fontId="8" fillId="0" borderId="128" xfId="0" applyFont="1" applyBorder="1"/>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20" fillId="0" borderId="10" xfId="0" applyFont="1" applyBorder="1"/>
    <xf numFmtId="0" fontId="8" fillId="63" borderId="101" xfId="0" applyFont="1" applyFill="1" applyBorder="1" applyAlignment="1">
      <alignment vertical="center" wrapText="1"/>
    </xf>
    <xf numFmtId="0" fontId="8" fillId="63" borderId="126" xfId="0" applyFont="1" applyFill="1" applyBorder="1" applyAlignment="1">
      <alignment vertical="center" wrapText="1"/>
    </xf>
    <xf numFmtId="0" fontId="8" fillId="63" borderId="128" xfId="0" applyFont="1" applyFill="1" applyBorder="1" applyAlignment="1">
      <alignment vertical="center" wrapText="1"/>
    </xf>
    <xf numFmtId="0" fontId="1" fillId="65" borderId="101" xfId="0" applyFont="1" applyFill="1" applyBorder="1"/>
    <xf numFmtId="0" fontId="1" fillId="65" borderId="128" xfId="0" applyFont="1" applyFill="1" applyBorder="1"/>
    <xf numFmtId="0" fontId="1" fillId="64" borderId="101" xfId="0" applyFont="1" applyFill="1" applyBorder="1"/>
    <xf numFmtId="0" fontId="1" fillId="64" borderId="128" xfId="0" applyFont="1" applyFill="1" applyBorder="1"/>
    <xf numFmtId="166" fontId="102" fillId="16" borderId="2" xfId="0" applyNumberFormat="1" applyFont="1" applyFill="1" applyBorder="1" applyAlignment="1" applyProtection="1">
      <alignment vertical="center"/>
      <protection locked="0"/>
    </xf>
    <xf numFmtId="166" fontId="102" fillId="16" borderId="3" xfId="0" applyNumberFormat="1" applyFont="1" applyFill="1" applyBorder="1" applyAlignment="1" applyProtection="1">
      <alignment vertical="center"/>
      <protection locked="0"/>
    </xf>
    <xf numFmtId="0" fontId="1" fillId="14" borderId="77" xfId="0" applyFont="1" applyFill="1" applyBorder="1" applyAlignment="1">
      <alignment vertical="top" wrapText="1"/>
    </xf>
    <xf numFmtId="0" fontId="1" fillId="14" borderId="4" xfId="0" applyFont="1" applyFill="1" applyBorder="1" applyAlignment="1">
      <alignment vertical="top" wrapText="1"/>
    </xf>
    <xf numFmtId="0" fontId="1" fillId="14" borderId="3" xfId="0" applyFont="1" applyFill="1" applyBorder="1" applyAlignment="1">
      <alignment vertical="top" wrapText="1"/>
    </xf>
    <xf numFmtId="0" fontId="78" fillId="0" borderId="35" xfId="0" applyFont="1" applyBorder="1" applyAlignment="1">
      <alignment horizontal="center" vertical="center" wrapText="1"/>
    </xf>
    <xf numFmtId="0" fontId="78" fillId="0" borderId="37" xfId="0" applyFont="1" applyBorder="1" applyAlignment="1">
      <alignment horizontal="center" vertical="center" wrapText="1"/>
    </xf>
    <xf numFmtId="0" fontId="78" fillId="5" borderId="35" xfId="0" applyFont="1" applyFill="1" applyBorder="1" applyAlignment="1">
      <alignment horizontal="center" vertical="center" wrapText="1"/>
    </xf>
    <xf numFmtId="0" fontId="78" fillId="5" borderId="37" xfId="0" applyFont="1" applyFill="1" applyBorder="1" applyAlignment="1">
      <alignment horizontal="center" vertical="center" wrapText="1"/>
    </xf>
    <xf numFmtId="0" fontId="126" fillId="70" borderId="85" xfId="0" applyFont="1" applyFill="1" applyBorder="1" applyAlignment="1">
      <alignment horizontal="center" vertical="center" wrapText="1"/>
    </xf>
    <xf numFmtId="0" fontId="126" fillId="70" borderId="89" xfId="0" applyFont="1" applyFill="1" applyBorder="1" applyAlignment="1">
      <alignment horizontal="center" vertical="center" wrapText="1"/>
    </xf>
    <xf numFmtId="0" fontId="126" fillId="70" borderId="93" xfId="0" applyFont="1" applyFill="1" applyBorder="1" applyAlignment="1">
      <alignment horizontal="center" vertical="center" wrapText="1"/>
    </xf>
    <xf numFmtId="0" fontId="5" fillId="9" borderId="2" xfId="0" applyFont="1" applyFill="1" applyBorder="1" applyAlignment="1">
      <alignment horizontal="center"/>
    </xf>
    <xf numFmtId="0" fontId="5" fillId="9" borderId="4" xfId="0" applyFont="1" applyFill="1" applyBorder="1" applyAlignment="1">
      <alignment horizontal="center"/>
    </xf>
    <xf numFmtId="0" fontId="5" fillId="9" borderId="3" xfId="0" applyFont="1" applyFill="1" applyBorder="1" applyAlignment="1">
      <alignment horizontal="center"/>
    </xf>
    <xf numFmtId="0" fontId="0" fillId="0" borderId="0" xfId="0" applyAlignment="1">
      <alignment horizontal="center" textRotation="90"/>
    </xf>
    <xf numFmtId="0" fontId="0" fillId="2" borderId="5" xfId="0" applyFill="1" applyBorder="1" applyAlignment="1">
      <alignment horizontal="left" vertical="center" wrapText="1" readingOrder="1"/>
    </xf>
    <xf numFmtId="0" fontId="0" fillId="0" borderId="5" xfId="0" applyBorder="1" applyAlignment="1">
      <alignment horizontal="left" vertical="center" wrapText="1" readingOrder="1"/>
    </xf>
    <xf numFmtId="0" fontId="0" fillId="0" borderId="1" xfId="0" applyFill="1" applyBorder="1" applyAlignment="1">
      <alignment horizontal="left" vertical="center" wrapText="1" readingOrder="1"/>
    </xf>
    <xf numFmtId="0" fontId="0" fillId="2" borderId="1" xfId="0" applyFill="1" applyBorder="1" applyAlignment="1">
      <alignment horizontal="left" vertical="center" wrapText="1" readingOrder="1"/>
    </xf>
    <xf numFmtId="0" fontId="0" fillId="91" borderId="0" xfId="0" applyFill="1" applyAlignment="1">
      <alignment horizontal="left" vertical="center" wrapText="1"/>
    </xf>
    <xf numFmtId="0" fontId="0" fillId="91" borderId="0" xfId="0" applyFill="1" applyAlignment="1">
      <alignment horizontal="left" vertical="center"/>
    </xf>
    <xf numFmtId="0" fontId="2" fillId="128" borderId="1" xfId="1" applyFill="1" applyBorder="1" applyAlignment="1">
      <alignment horizontal="left" vertical="center"/>
    </xf>
    <xf numFmtId="0" fontId="0" fillId="0" borderId="1" xfId="0" applyBorder="1" applyAlignment="1">
      <alignment horizontal="left" vertical="center" wrapText="1"/>
    </xf>
  </cellXfs>
  <cellStyles count="91">
    <cellStyle name="20% - Énfasis1" xfId="4" builtinId="30" customBuiltin="1"/>
    <cellStyle name="20% - Énfasis2" xfId="52" builtinId="34" customBuiltin="1"/>
    <cellStyle name="20% - Énfasis3" xfId="55" builtinId="38" customBuiltin="1"/>
    <cellStyle name="20% - Énfasis4" xfId="58" builtinId="42" customBuiltin="1"/>
    <cellStyle name="20% - Énfasis5" xfId="61" builtinId="46" customBuiltin="1"/>
    <cellStyle name="20% - Énfasis6" xfId="64" builtinId="50" customBuiltin="1"/>
    <cellStyle name="40% - Énfasis1" xfId="50" builtinId="31" customBuiltin="1"/>
    <cellStyle name="40% - Énfasis2" xfId="53" builtinId="35" customBuiltin="1"/>
    <cellStyle name="40% - Énfasis3" xfId="56" builtinId="39" customBuiltin="1"/>
    <cellStyle name="40% - Énfasis4" xfId="59" builtinId="43" customBuiltin="1"/>
    <cellStyle name="40% - Énfasis5" xfId="62" builtinId="47" customBuiltin="1"/>
    <cellStyle name="40% - Énfasis6" xfId="65" builtinId="51" customBuiltin="1"/>
    <cellStyle name="60% - Accent1 2" xfId="68" xr:uid="{83C7C593-7BD9-480F-A22C-889EBD0E5087}"/>
    <cellStyle name="60% - Accent2 2" xfId="69" xr:uid="{9B273B57-9C41-403E-B272-13F4ED14F462}"/>
    <cellStyle name="60% - Accent3 2" xfId="70" xr:uid="{72A4D1A7-76C3-4449-90E6-188D87B9D54F}"/>
    <cellStyle name="60% - Accent4 2" xfId="71" xr:uid="{8F8F898B-BBA1-43D4-8233-30F3E98E3E45}"/>
    <cellStyle name="60% - Accent5 2" xfId="72" xr:uid="{A0BC055C-CF52-45D3-8206-AEB53057C290}"/>
    <cellStyle name="60% - Accent6 2" xfId="73" xr:uid="{29CBBD8C-DF57-4B43-A630-8671B153C603}"/>
    <cellStyle name="Body: normal cell" xfId="19" xr:uid="{D3DE035B-27F2-406E-A6FE-B0A361E3E87F}"/>
    <cellStyle name="Bueno" xfId="38" builtinId="26" customBuiltin="1"/>
    <cellStyle name="Cálculo" xfId="42" builtinId="22" customBuiltin="1"/>
    <cellStyle name="Celda de comprobación" xfId="44" builtinId="23" customBuiltin="1"/>
    <cellStyle name="Celda vinculada" xfId="43" builtinId="24" customBuiltin="1"/>
    <cellStyle name="Comma 2" xfId="8" xr:uid="{00000000-0005-0000-0000-000002000000}"/>
    <cellStyle name="Comma 2 2" xfId="81" xr:uid="{FD9AF37F-E509-46D2-AF67-F868F19C3069}"/>
    <cellStyle name="Comma 3" xfId="11" xr:uid="{00000000-0005-0000-0000-000003000000}"/>
    <cellStyle name="Comma 3 2" xfId="15" xr:uid="{00000000-0005-0000-0000-000004000000}"/>
    <cellStyle name="Comma 3 2 2" xfId="23" xr:uid="{29F5047F-317D-42B1-9F28-0AD2E2C861C3}"/>
    <cellStyle name="Comma 3 2 2 2" xfId="84" xr:uid="{28950B9D-4A38-4CA6-8CC2-2C917F77CD82}"/>
    <cellStyle name="Comma 3 2 3" xfId="83" xr:uid="{9239E2BF-03F5-4209-AE76-A42AD7B2EBC9}"/>
    <cellStyle name="Comma 3 3" xfId="30" xr:uid="{03150921-769C-4CF4-BD9D-0B2D07851BE0}"/>
    <cellStyle name="Comma 3 3 2" xfId="85" xr:uid="{FA6AD43B-AADE-46E2-8198-7C9F829C4DD5}"/>
    <cellStyle name="Comma 3 4" xfId="82" xr:uid="{3DBE2BE3-484B-4B15-84EF-68BBF8ABE23D}"/>
    <cellStyle name="Comma 4" xfId="77" xr:uid="{D4E8F1AF-C9C7-477C-B863-CB25EECF6A2A}"/>
    <cellStyle name="Comma 4 2" xfId="86" xr:uid="{FEE78D6E-0325-44DF-8FBF-EA9ED68D933C}"/>
    <cellStyle name="Currency 2" xfId="9" xr:uid="{00000000-0005-0000-0000-000006000000}"/>
    <cellStyle name="Encabezado 1" xfId="34" builtinId="16" customBuiltin="1"/>
    <cellStyle name="Encabezado 4" xfId="37" builtinId="19" customBuiltin="1"/>
    <cellStyle name="Énfasis1" xfId="49" builtinId="29" customBuiltin="1"/>
    <cellStyle name="Énfasis2" xfId="51" builtinId="33" customBuiltin="1"/>
    <cellStyle name="Énfasis3" xfId="54" builtinId="37" customBuiltin="1"/>
    <cellStyle name="Énfasis4" xfId="57" builtinId="41" customBuiltin="1"/>
    <cellStyle name="Énfasis5" xfId="60" builtinId="45" customBuiltin="1"/>
    <cellStyle name="Énfasis6" xfId="63" builtinId="49" customBuiltin="1"/>
    <cellStyle name="Entrada" xfId="40" builtinId="20" customBuiltin="1"/>
    <cellStyle name="Footer" xfId="89" xr:uid="{03A63353-CADB-4B14-AF3A-214EE043CCDF}"/>
    <cellStyle name="Footnotes: top row" xfId="22" xr:uid="{E2191D4D-EB84-41ED-AFB9-0D1466F6577F}"/>
    <cellStyle name="Header" xfId="88" xr:uid="{EA0759BB-6488-4EBB-9382-57A2285CF900}"/>
    <cellStyle name="Header: bottom row" xfId="21" xr:uid="{82C6F0E5-C2FC-4512-A6C9-7AABC64D1700}"/>
    <cellStyle name="Hipervínculo" xfId="1" builtinId="8"/>
    <cellStyle name="Hyperlink 2" xfId="24" xr:uid="{3ECFD057-4C59-457F-9C26-01FC6D958A5C}"/>
    <cellStyle name="Hyperlink 3" xfId="32" xr:uid="{E48F2AB0-821D-4613-A99D-25F0999A6F38}"/>
    <cellStyle name="Incorrecto" xfId="39" builtinId="27" customBuiltin="1"/>
    <cellStyle name="Komma 2" xfId="80" xr:uid="{3C56B037-698F-47A4-B25E-1F94984C3960}"/>
    <cellStyle name="Millares" xfId="3" builtinId="3"/>
    <cellStyle name="Neutral 2" xfId="67" xr:uid="{387280B1-0EE7-4D3C-9E95-1044E2228FDE}"/>
    <cellStyle name="Normal" xfId="0" builtinId="0"/>
    <cellStyle name="Normal 10 3" xfId="26" xr:uid="{10625BF9-EF48-4697-8BBD-35F8AA6DBB2B}"/>
    <cellStyle name="Normal 128" xfId="74" xr:uid="{F35F8C53-0B0D-4B6D-B046-58F008841E0A}"/>
    <cellStyle name="Normal 130" xfId="75" xr:uid="{4D984A26-BDB9-4840-BE94-1D63D95BBD6F}"/>
    <cellStyle name="Normal 131" xfId="76" xr:uid="{5D515672-36F8-47CF-8635-B10DA61BC8FD}"/>
    <cellStyle name="Normal 153" xfId="25" xr:uid="{A31D804D-E7F4-4FD8-A30B-732310A30E22}"/>
    <cellStyle name="Normal 158" xfId="27" xr:uid="{02998FDC-C23C-4027-9B45-4DEBA928680A}"/>
    <cellStyle name="Normal 2" xfId="2" xr:uid="{00000000-0005-0000-0000-000009000000}"/>
    <cellStyle name="Normal 2 2" xfId="28" xr:uid="{1C3FB1B1-96AD-47CA-8EEE-A0EE03801CF7}"/>
    <cellStyle name="Normal 2 2 2" xfId="29" xr:uid="{22FC2501-A1F2-404C-968B-2F195CB1A904}"/>
    <cellStyle name="Normal 3" xfId="7" xr:uid="{00000000-0005-0000-0000-00000A000000}"/>
    <cellStyle name="Normal 3 2" xfId="14" xr:uid="{00000000-0005-0000-0000-00000B000000}"/>
    <cellStyle name="Normal 4" xfId="10" xr:uid="{00000000-0005-0000-0000-00000C000000}"/>
    <cellStyle name="Normal 4 2" xfId="13" xr:uid="{00000000-0005-0000-0000-00000D000000}"/>
    <cellStyle name="Normal 4 3" xfId="66" xr:uid="{0F5FF991-449C-4BC4-8E2D-DC57A7C0097B}"/>
    <cellStyle name="Normal 5" xfId="31" xr:uid="{EE272409-FF4C-4E0A-A7C6-033CE3CBED2A}"/>
    <cellStyle name="Normal 5 2" xfId="17" xr:uid="{3786E741-3721-46C4-9F46-E9CFA7A9F2CF}"/>
    <cellStyle name="Normal 6" xfId="5" xr:uid="{00000000-0005-0000-0000-00000E000000}"/>
    <cellStyle name="Normal 7" xfId="87" xr:uid="{7EAE80B6-4B09-444D-AF74-BE12A8311F38}"/>
    <cellStyle name="Normal 8" xfId="90" xr:uid="{49B9901D-74BA-4952-B4D4-69153781B1C0}"/>
    <cellStyle name="Normal 9" xfId="79" xr:uid="{DCD8008F-740D-4DAD-A016-4212F70728E1}"/>
    <cellStyle name="Notas" xfId="46" builtinId="10" customBuiltin="1"/>
    <cellStyle name="Parent row" xfId="20" xr:uid="{182F19D9-0FEC-4187-9FBB-5EBACCDFD7F3}"/>
    <cellStyle name="Percent 2" xfId="12" xr:uid="{00000000-0005-0000-0000-000010000000}"/>
    <cellStyle name="Percent 3" xfId="16" xr:uid="{A4F9CF97-DB16-4462-9804-2FA84C49AF61}"/>
    <cellStyle name="Porcentaje" xfId="6" builtinId="5"/>
    <cellStyle name="Salida" xfId="41" builtinId="21" customBuiltin="1"/>
    <cellStyle name="Standard 2" xfId="78" xr:uid="{343983F8-7C41-442E-B107-C1A278025140}"/>
    <cellStyle name="Table title" xfId="18" xr:uid="{72C01491-07E9-4941-A487-E4ED55A1AD16}"/>
    <cellStyle name="Texto de advertencia" xfId="45" builtinId="11" customBuiltin="1"/>
    <cellStyle name="Texto explicativo" xfId="47" builtinId="53" customBuiltin="1"/>
    <cellStyle name="Título" xfId="33" builtinId="15" customBuiltin="1"/>
    <cellStyle name="Título 2" xfId="35" builtinId="17" customBuiltin="1"/>
    <cellStyle name="Título 3" xfId="36" builtinId="18" customBuiltin="1"/>
    <cellStyle name="Total" xfId="48" builtinId="25" customBuiltin="1"/>
  </cellStyles>
  <dxfs count="105">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font>
    </dxf>
    <dxf>
      <font>
        <b val="0"/>
        <i val="0"/>
        <strike val="0"/>
        <condense val="0"/>
        <extend val="0"/>
        <outline val="0"/>
        <shadow val="0"/>
        <u val="none"/>
        <vertAlign val="baseline"/>
        <sz val="12"/>
        <color rgb="FF000000"/>
        <name val="Calibri"/>
        <family val="2"/>
        <scheme val="minor"/>
      </font>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dxf>
    <dxf>
      <alignment horizontal="general" vertical="bottom" textRotation="0" wrapText="1" indent="0" justifyLastLine="0" shrinkToFit="0" readingOrder="0"/>
      <border outline="0">
        <left style="thin">
          <color indexed="64"/>
        </left>
      </border>
    </dxf>
    <dxf>
      <font>
        <b val="0"/>
      </font>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dxf>
    <dxf>
      <font>
        <b/>
        <i val="0"/>
        <strike val="0"/>
        <condense val="0"/>
        <extend val="0"/>
        <outline val="0"/>
        <shadow val="0"/>
        <u val="none"/>
        <vertAlign val="baseline"/>
        <sz val="10"/>
        <color rgb="FF000000"/>
        <name val="Trebuchet MS"/>
        <family val="2"/>
        <scheme val="none"/>
      </font>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minor"/>
      </font>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rgb="FF000000"/>
        </left>
      </border>
    </dxf>
    <dxf>
      <border outline="0">
        <bottom style="thin">
          <color rgb="FF000000"/>
        </bottom>
      </border>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font>
    </dxf>
    <dxf>
      <font>
        <b val="0"/>
        <i val="0"/>
        <strike val="0"/>
        <condense val="0"/>
        <extend val="0"/>
        <outline val="0"/>
        <shadow val="0"/>
        <u val="none"/>
        <vertAlign val="baseline"/>
        <sz val="12"/>
        <color rgb="FF000000"/>
        <name val="Calibri"/>
        <family val="2"/>
        <scheme val="minor"/>
      </font>
      <alignment horizontal="general" vertical="bottom" textRotation="0" wrapText="0"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dxf>
    <dxf>
      <alignment horizontal="general" vertical="bottom" textRotation="0" wrapText="1" indent="0" justifyLastLine="0" shrinkToFit="0" readingOrder="0"/>
      <border outline="0">
        <left style="thin">
          <color indexed="64"/>
        </left>
      </border>
    </dxf>
    <dxf>
      <font>
        <b val="0"/>
      </font>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dxf>
    <dxf>
      <font>
        <b/>
        <i val="0"/>
        <strike val="0"/>
        <condense val="0"/>
        <extend val="0"/>
        <outline val="0"/>
        <shadow val="0"/>
        <u val="none"/>
        <vertAlign val="baseline"/>
        <sz val="10"/>
        <color rgb="FF000000"/>
        <name val="Trebuchet MS"/>
        <family val="2"/>
        <scheme val="none"/>
      </font>
      <border diagonalUp="0" diagonalDown="0" outline="0">
        <left style="thin">
          <color indexed="64"/>
        </left>
        <right style="medium">
          <color indexed="64"/>
        </right>
        <top style="thin">
          <color indexed="64"/>
        </top>
        <bottom style="thin">
          <color indexed="64"/>
        </bottom>
      </border>
    </dxf>
    <dxf>
      <font>
        <b val="0"/>
        <i val="0"/>
        <strike val="0"/>
        <condense val="0"/>
        <extend val="0"/>
        <outline val="0"/>
        <shadow val="0"/>
        <u val="none"/>
        <vertAlign val="baseline"/>
        <sz val="11"/>
        <color rgb="FF000000"/>
        <name val="Calibri"/>
        <family val="2"/>
        <scheme val="minor"/>
      </font>
      <fill>
        <patternFill patternType="solid">
          <fgColor indexed="64"/>
          <bgColor rgb="FFFFFF0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border>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theme="3" tint="0.79998168889431442"/>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Calibri"/>
        <family val="2"/>
        <scheme val="minor"/>
      </font>
      <numFmt numFmtId="174" formatCode="0.0%"/>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numFmt numFmtId="167"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F7901E"/>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right style="thin">
          <color indexed="64"/>
        </right>
      </border>
    </dxf>
    <dxf>
      <font>
        <b/>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0"/>
        <name val="Calibri"/>
        <family val="2"/>
        <scheme val="minor"/>
      </font>
      <fill>
        <patternFill patternType="solid">
          <fgColor indexed="64"/>
          <bgColor rgb="FF717073"/>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EBC35E"/>
      <color rgb="FFFFFF66"/>
      <color rgb="FFFF9900"/>
      <color rgb="FF009999"/>
      <color rgb="FF006699"/>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connections" Target="connections.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eetMetadata" Target="metadata.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Emissions intensities - BASELINE </a:t>
            </a:r>
            <a:r>
              <a:rPr lang="en-US" sz="1100" i="1" baseline="0"/>
              <a:t>(location based)</a:t>
            </a:r>
            <a:endParaRPr lang="en-US"/>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manualLayout>
          <c:layoutTarget val="inner"/>
          <c:xMode val="edge"/>
          <c:yMode val="edge"/>
          <c:x val="4.8019982742429662E-2"/>
          <c:y val="0.1490316147510328"/>
          <c:w val="0.94168476827757008"/>
          <c:h val="0.67916741284350024"/>
        </c:manualLayout>
      </c:layout>
      <c:barChart>
        <c:barDir val="col"/>
        <c:grouping val="clustered"/>
        <c:varyColors val="0"/>
        <c:ser>
          <c:idx val="7"/>
          <c:order val="7"/>
          <c:tx>
            <c:strRef>
              <c:f>Summary!$A$150</c:f>
              <c:strCache>
                <c:ptCount val="1"/>
                <c:pt idx="0">
                  <c:v>Emissions Intensity
kg of CO2 per Liter Produced</c:v>
                </c:pt>
              </c:strCache>
            </c:strRef>
          </c:tx>
          <c:spPr>
            <a:solidFill>
              <a:schemeClr val="accent2">
                <a:lumMod val="60000"/>
              </a:schemeClr>
            </a:solidFill>
            <a:ln>
              <a:solidFill>
                <a:schemeClr val="accent6">
                  <a:lumMod val="75000"/>
                </a:schemeClr>
              </a:solidFill>
            </a:ln>
            <a:effectLst/>
          </c:spPr>
          <c:invertIfNegative val="0"/>
          <c:dPt>
            <c:idx val="0"/>
            <c:invertIfNegative val="0"/>
            <c:bubble3D val="0"/>
            <c:spPr>
              <a:solidFill>
                <a:schemeClr val="accent2">
                  <a:lumMod val="75000"/>
                </a:schemeClr>
              </a:solidFill>
              <a:ln>
                <a:solidFill>
                  <a:schemeClr val="accent2">
                    <a:lumMod val="75000"/>
                  </a:schemeClr>
                </a:solidFill>
              </a:ln>
              <a:effectLst/>
            </c:spPr>
            <c:extLst>
              <c:ext xmlns:c16="http://schemas.microsoft.com/office/drawing/2014/chart" uri="{C3380CC4-5D6E-409C-BE32-E72D297353CC}">
                <c16:uniqueId val="{00000001-AE12-4EEC-A643-EBA73182746A}"/>
              </c:ext>
            </c:extLst>
          </c:dPt>
          <c:dPt>
            <c:idx val="1"/>
            <c:invertIfNegative val="0"/>
            <c:bubble3D val="0"/>
            <c:spPr>
              <a:solidFill>
                <a:srgbClr val="006699"/>
              </a:solidFill>
              <a:ln>
                <a:solidFill>
                  <a:schemeClr val="accent6">
                    <a:lumMod val="75000"/>
                  </a:schemeClr>
                </a:solidFill>
              </a:ln>
              <a:effectLst/>
            </c:spPr>
            <c:extLst>
              <c:ext xmlns:c16="http://schemas.microsoft.com/office/drawing/2014/chart" uri="{C3380CC4-5D6E-409C-BE32-E72D297353CC}">
                <c16:uniqueId val="{00000003-AE12-4EEC-A643-EBA73182746A}"/>
              </c:ext>
            </c:extLst>
          </c:dPt>
          <c:dPt>
            <c:idx val="2"/>
            <c:invertIfNegative val="0"/>
            <c:bubble3D val="0"/>
            <c:spPr>
              <a:solidFill>
                <a:schemeClr val="accent6">
                  <a:lumMod val="75000"/>
                </a:schemeClr>
              </a:solidFill>
              <a:ln>
                <a:solidFill>
                  <a:schemeClr val="accent6">
                    <a:lumMod val="75000"/>
                  </a:schemeClr>
                </a:solidFill>
              </a:ln>
              <a:effectLst/>
            </c:spPr>
            <c:extLst>
              <c:ext xmlns:c16="http://schemas.microsoft.com/office/drawing/2014/chart" uri="{C3380CC4-5D6E-409C-BE32-E72D297353CC}">
                <c16:uniqueId val="{00000005-AE12-4EEC-A643-EBA73182746A}"/>
              </c:ext>
            </c:extLst>
          </c:dPt>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Summary!$B$142:$D$142</c:f>
              <c:strCache>
                <c:ptCount val="3"/>
                <c:pt idx="0">
                  <c:v>Our Company (Baseline)</c:v>
                </c:pt>
                <c:pt idx="1">
                  <c:v>IWCA Average 
(Small Wineries, Baseline)</c:v>
                </c:pt>
                <c:pt idx="2">
                  <c:v>IWCA Average 
(Large Wineries, Baseline)</c:v>
                </c:pt>
              </c:strCache>
            </c:strRef>
          </c:cat>
          <c:val>
            <c:numRef>
              <c:f>Summary!$B$150:$D$150</c:f>
              <c:numCache>
                <c:formatCode>#,##0.00</c:formatCode>
                <c:ptCount val="3"/>
                <c:pt idx="0">
                  <c:v>0</c:v>
                </c:pt>
                <c:pt idx="1">
                  <c:v>2.4779540826240147</c:v>
                </c:pt>
                <c:pt idx="2">
                  <c:v>2.281566087190372</c:v>
                </c:pt>
              </c:numCache>
            </c:numRef>
          </c:val>
          <c:extLst>
            <c:ext xmlns:c16="http://schemas.microsoft.com/office/drawing/2014/chart" uri="{C3380CC4-5D6E-409C-BE32-E72D297353CC}">
              <c16:uniqueId val="{00000006-AE12-4EEC-A643-EBA73182746A}"/>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Summary!$A$143</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Summary!$B$143:$D$143</c15:sqref>
                        </c15:formulaRef>
                      </c:ext>
                    </c:extLst>
                    <c:numCache>
                      <c:formatCode>#,##0</c:formatCode>
                      <c:ptCount val="3"/>
                      <c:pt idx="0" formatCode="0">
                        <c:v>2023</c:v>
                      </c:pt>
                      <c:pt idx="1">
                        <c:v>0</c:v>
                      </c:pt>
                      <c:pt idx="2">
                        <c:v>0</c:v>
                      </c:pt>
                    </c:numCache>
                  </c:numRef>
                </c:val>
                <c:extLst>
                  <c:ext xmlns:c16="http://schemas.microsoft.com/office/drawing/2014/chart" uri="{C3380CC4-5D6E-409C-BE32-E72D297353CC}">
                    <c16:uniqueId val="{00000007-AE12-4EEC-A643-EBA73182746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Summary!$A$144</c15:sqref>
                        </c15:formulaRef>
                      </c:ext>
                    </c:extLst>
                    <c:strCache>
                      <c:ptCount val="1"/>
                      <c:pt idx="0">
                        <c:v>Total Scope 1</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Summary!$B$144:$D$144</c15:sqref>
                        </c15:formulaRef>
                      </c:ext>
                    </c:extLst>
                    <c:numCache>
                      <c:formatCode>#,##0</c:formatCode>
                      <c:ptCount val="3"/>
                      <c:pt idx="0">
                        <c:v>0</c:v>
                      </c:pt>
                      <c:pt idx="1">
                        <c:v>477.7</c:v>
                      </c:pt>
                      <c:pt idx="2">
                        <c:v>4782.9777787298872</c:v>
                      </c:pt>
                    </c:numCache>
                  </c:numRef>
                </c:val>
                <c:extLst xmlns:c15="http://schemas.microsoft.com/office/drawing/2012/chart">
                  <c:ext xmlns:c16="http://schemas.microsoft.com/office/drawing/2014/chart" uri="{C3380CC4-5D6E-409C-BE32-E72D297353CC}">
                    <c16:uniqueId val="{00000008-AE12-4EEC-A643-EBA7318274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Summary!$A$145</c15:sqref>
                        </c15:formulaRef>
                      </c:ext>
                    </c:extLst>
                    <c:strCache>
                      <c:ptCount val="1"/>
                      <c:pt idx="0">
                        <c:v>Total Scope 2</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Summary!$B$145:$D$145</c15:sqref>
                        </c15:formulaRef>
                      </c:ext>
                    </c:extLst>
                    <c:numCache>
                      <c:formatCode>#,##0</c:formatCode>
                      <c:ptCount val="3"/>
                      <c:pt idx="0">
                        <c:v>0</c:v>
                      </c:pt>
                      <c:pt idx="1">
                        <c:v>655.81000000000006</c:v>
                      </c:pt>
                      <c:pt idx="2">
                        <c:v>2522.8813078054663</c:v>
                      </c:pt>
                    </c:numCache>
                  </c:numRef>
                </c:val>
                <c:extLst xmlns:c15="http://schemas.microsoft.com/office/drawing/2012/chart">
                  <c:ext xmlns:c16="http://schemas.microsoft.com/office/drawing/2014/chart" uri="{C3380CC4-5D6E-409C-BE32-E72D297353CC}">
                    <c16:uniqueId val="{00000009-AE12-4EEC-A643-EBA73182746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Summary!$A$146</c15:sqref>
                        </c15:formulaRef>
                      </c:ext>
                    </c:extLst>
                    <c:strCache>
                      <c:ptCount val="1"/>
                      <c:pt idx="0">
                        <c:v>Total Scope 3</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Summary!$B$146:$D$146</c15:sqref>
                        </c15:formulaRef>
                      </c:ext>
                    </c:extLst>
                    <c:numCache>
                      <c:formatCode>#,##0</c:formatCode>
                      <c:ptCount val="3"/>
                      <c:pt idx="0">
                        <c:v>0</c:v>
                      </c:pt>
                      <c:pt idx="1">
                        <c:v>3256.3333333333335</c:v>
                      </c:pt>
                      <c:pt idx="2">
                        <c:v>55726.105676496503</c:v>
                      </c:pt>
                    </c:numCache>
                  </c:numRef>
                </c:val>
                <c:extLst xmlns:c15="http://schemas.microsoft.com/office/drawing/2012/chart">
                  <c:ext xmlns:c16="http://schemas.microsoft.com/office/drawing/2014/chart" uri="{C3380CC4-5D6E-409C-BE32-E72D297353CC}">
                    <c16:uniqueId val="{0000000A-AE12-4EEC-A643-EBA7318274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Summary!$A$147</c15:sqref>
                        </c15:formulaRef>
                      </c:ext>
                    </c:extLst>
                    <c:strCache>
                      <c:ptCount val="1"/>
                      <c:pt idx="0">
                        <c:v>GHG Emissions Scopes 1-2-3 </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Summary!$B$147:$D$147</c15:sqref>
                        </c15:formulaRef>
                      </c:ext>
                    </c:extLst>
                    <c:numCache>
                      <c:formatCode>#,##0</c:formatCode>
                      <c:ptCount val="3"/>
                      <c:pt idx="0">
                        <c:v>0</c:v>
                      </c:pt>
                      <c:pt idx="1">
                        <c:v>4389.8433333333332</c:v>
                      </c:pt>
                      <c:pt idx="2">
                        <c:v>63031.964763031858</c:v>
                      </c:pt>
                    </c:numCache>
                  </c:numRef>
                </c:val>
                <c:extLst xmlns:c15="http://schemas.microsoft.com/office/drawing/2012/chart">
                  <c:ext xmlns:c16="http://schemas.microsoft.com/office/drawing/2014/chart" uri="{C3380CC4-5D6E-409C-BE32-E72D297353CC}">
                    <c16:uniqueId val="{0000000B-AE12-4EEC-A643-EBA7318274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Summary!$A$148</c15:sqref>
                        </c15:formulaRef>
                      </c:ext>
                    </c:extLst>
                    <c:strCache>
                      <c:ptCount val="1"/>
                      <c:pt idx="0">
                        <c:v>Production* Dispatched Sold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Summary!$B$148:$D$148</c15:sqref>
                        </c15:formulaRef>
                      </c:ext>
                    </c:extLst>
                    <c:numCache>
                      <c:formatCode>#,##0</c:formatCode>
                      <c:ptCount val="3"/>
                      <c:pt idx="0">
                        <c:v>0</c:v>
                      </c:pt>
                      <c:pt idx="1">
                        <c:v>962332.66666666663</c:v>
                      </c:pt>
                      <c:pt idx="2">
                        <c:v>36162593.75</c:v>
                      </c:pt>
                    </c:numCache>
                  </c:numRef>
                </c:val>
                <c:extLst xmlns:c15="http://schemas.microsoft.com/office/drawing/2012/chart">
                  <c:ext xmlns:c16="http://schemas.microsoft.com/office/drawing/2014/chart" uri="{C3380CC4-5D6E-409C-BE32-E72D297353CC}">
                    <c16:uniqueId val="{0000000C-AE12-4EEC-A643-EBA73182746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Summary!$A$149</c15:sqref>
                        </c15:formulaRef>
                      </c:ext>
                    </c:extLst>
                    <c:strCache>
                      <c:ptCount val="1"/>
                      <c:pt idx="0">
                        <c:v>Production* Sold Dispatched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Summary!$B$149:$D$149</c15:sqref>
                        </c15:formulaRef>
                      </c:ext>
                    </c:extLst>
                    <c:numCache>
                      <c:formatCode>#,##0</c:formatCode>
                      <c:ptCount val="3"/>
                      <c:pt idx="0">
                        <c:v>0</c:v>
                      </c:pt>
                      <c:pt idx="1">
                        <c:v>106925.85185185185</c:v>
                      </c:pt>
                      <c:pt idx="2">
                        <c:v>4018065.972222222</c:v>
                      </c:pt>
                    </c:numCache>
                  </c:numRef>
                </c:val>
                <c:extLst xmlns:c15="http://schemas.microsoft.com/office/drawing/2012/chart">
                  <c:ext xmlns:c16="http://schemas.microsoft.com/office/drawing/2014/chart" uri="{C3380CC4-5D6E-409C-BE32-E72D297353CC}">
                    <c16:uniqueId val="{0000000D-AE12-4EEC-A643-EBA73182746A}"/>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kg co2/liter of wine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0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Emissions intensities - BASELINE </a:t>
            </a:r>
            <a:r>
              <a:rPr lang="en-US" sz="1100" i="1" baseline="0"/>
              <a:t>(Market based)</a:t>
            </a:r>
            <a:endParaRPr lang="en-US"/>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Summary!$A$155</c:f>
              <c:strCache>
                <c:ptCount val="1"/>
                <c:pt idx="0">
                  <c:v>Reporting Year</c:v>
                </c:pt>
              </c:strCache>
              <c:extLst xmlns:c15="http://schemas.microsoft.com/office/drawing/2012/chart"/>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Summary!$B$155:$D$155</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7-795A-4F06-9780-47D5AB9FC790}"/>
            </c:ext>
          </c:extLst>
        </c:ser>
        <c:ser>
          <c:idx val="1"/>
          <c:order val="1"/>
          <c:tx>
            <c:strRef>
              <c:f>Summary!$A$156</c:f>
              <c:strCache>
                <c:ptCount val="1"/>
                <c:pt idx="0">
                  <c:v>Total Scope 1</c:v>
                </c:pt>
              </c:strCache>
              <c:extLst xmlns:c15="http://schemas.microsoft.com/office/drawing/2012/chart"/>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Summary!$B$156:$D$156</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8-795A-4F06-9780-47D5AB9FC790}"/>
            </c:ext>
          </c:extLst>
        </c:ser>
        <c:ser>
          <c:idx val="2"/>
          <c:order val="2"/>
          <c:tx>
            <c:strRef>
              <c:f>Summary!$A$157</c:f>
              <c:strCache>
                <c:ptCount val="1"/>
                <c:pt idx="0">
                  <c:v>Total Scope 2</c:v>
                </c:pt>
              </c:strCache>
              <c:extLst xmlns:c15="http://schemas.microsoft.com/office/drawing/2012/chart"/>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Summary!$B$157:$D$157</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9-795A-4F06-9780-47D5AB9FC790}"/>
            </c:ext>
          </c:extLst>
        </c:ser>
        <c:ser>
          <c:idx val="3"/>
          <c:order val="3"/>
          <c:tx>
            <c:strRef>
              <c:f>Summary!$A$158</c:f>
              <c:strCache>
                <c:ptCount val="1"/>
                <c:pt idx="0">
                  <c:v>Total Scope 3</c:v>
                </c:pt>
              </c:strCache>
              <c:extLst xmlns:c15="http://schemas.microsoft.com/office/drawing/2012/chart"/>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Summary!$B$158:$D$158</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A-795A-4F06-9780-47D5AB9FC790}"/>
            </c:ext>
          </c:extLst>
        </c:ser>
        <c:ser>
          <c:idx val="4"/>
          <c:order val="4"/>
          <c:tx>
            <c:strRef>
              <c:f>Summary!$A$159</c:f>
              <c:strCache>
                <c:ptCount val="1"/>
                <c:pt idx="0">
                  <c:v>GHG Emissions Scopes 1-2-3 </c:v>
                </c:pt>
              </c:strCache>
              <c:extLst xmlns:c15="http://schemas.microsoft.com/office/drawing/2012/chart"/>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Summary!$B$159:$D$159</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B-795A-4F06-9780-47D5AB9FC790}"/>
            </c:ext>
          </c:extLst>
        </c:ser>
        <c:ser>
          <c:idx val="5"/>
          <c:order val="5"/>
          <c:tx>
            <c:strRef>
              <c:f>Summary!$A$160</c:f>
              <c:strCache>
                <c:ptCount val="1"/>
                <c:pt idx="0">
                  <c:v>Production Volume (liters)</c:v>
                </c:pt>
              </c:strCache>
              <c:extLst xmlns:c15="http://schemas.microsoft.com/office/drawing/2012/chart"/>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Summary!$B$160:$D$160</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C-795A-4F06-9780-47D5AB9FC790}"/>
            </c:ext>
          </c:extLst>
        </c:ser>
        <c:ser>
          <c:idx val="6"/>
          <c:order val="6"/>
          <c:tx>
            <c:strRef>
              <c:f>Summary!$A$161</c:f>
              <c:strCache>
                <c:ptCount val="1"/>
                <c:pt idx="0">
                  <c:v>Production Volume (9L cases)</c:v>
                </c:pt>
              </c:strCache>
              <c:extLst xmlns:c15="http://schemas.microsoft.com/office/drawing/2012/chart"/>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Summary!$B$161:$D$161</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D-795A-4F06-9780-47D5AB9FC790}"/>
            </c:ext>
          </c:extLst>
        </c:ser>
        <c:ser>
          <c:idx val="7"/>
          <c:order val="7"/>
          <c:tx>
            <c:strRef>
              <c:f>Summary!$A$162</c:f>
              <c:strCache>
                <c:ptCount val="1"/>
                <c:pt idx="0">
                  <c:v>Emissions Intensity
kg of CO2 per Liter Produced</c:v>
                </c:pt>
              </c:strCache>
            </c:strRef>
          </c:tx>
          <c:spPr>
            <a:solidFill>
              <a:schemeClr val="accent2">
                <a:lumMod val="60000"/>
              </a:schemeClr>
            </a:solidFill>
            <a:ln>
              <a:noFill/>
            </a:ln>
            <a:effectLst/>
          </c:spPr>
          <c:invertIfNegative val="0"/>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Summary!$B$162:$D$162</c:f>
            </c:numRef>
          </c:val>
          <c:extLs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6-795A-4F06-9780-47D5AB9FC790}"/>
            </c:ext>
          </c:extLst>
        </c:ser>
        <c:dLbls>
          <c:dLblPos val="outEnd"/>
          <c:showLegendKey val="0"/>
          <c:showVal val="1"/>
          <c:showCatName val="0"/>
          <c:showSerName val="0"/>
          <c:showPercent val="0"/>
          <c:showBubbleSize val="0"/>
        </c:dLbls>
        <c:gapWidth val="444"/>
        <c:overlap val="-90"/>
        <c:axId val="850208544"/>
        <c:axId val="1021227680"/>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kg co2/liter of wine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0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Emissions intensities - most recent year </a:t>
            </a:r>
            <a:r>
              <a:rPr lang="en-US" sz="1000" i="1"/>
              <a:t>(location</a:t>
            </a:r>
            <a:r>
              <a:rPr lang="en-US" sz="1000" i="1" baseline="0"/>
              <a:t> based)</a:t>
            </a:r>
            <a:endParaRPr lang="en-US" sz="1000" i="1"/>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manualLayout>
          <c:layoutTarget val="inner"/>
          <c:xMode val="edge"/>
          <c:yMode val="edge"/>
          <c:x val="3.8480811377445932E-2"/>
          <c:y val="0.19678886984043253"/>
          <c:w val="0.94457749327910701"/>
          <c:h val="0.57860751787957376"/>
        </c:manualLayout>
      </c:layout>
      <c:barChart>
        <c:barDir val="col"/>
        <c:grouping val="clustered"/>
        <c:varyColors val="0"/>
        <c:ser>
          <c:idx val="7"/>
          <c:order val="7"/>
          <c:tx>
            <c:strRef>
              <c:f>Summary!$A$150</c:f>
              <c:strCache>
                <c:ptCount val="1"/>
                <c:pt idx="0">
                  <c:v>Emissions Intensity
kg of CO2 per Liter Produced</c:v>
                </c:pt>
              </c:strCache>
            </c:strRef>
          </c:tx>
          <c:spPr>
            <a:solidFill>
              <a:schemeClr val="accent2">
                <a:lumMod val="60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8803-429E-AA2E-544BEBD71061}"/>
              </c:ext>
            </c:extLst>
          </c:dPt>
          <c:dPt>
            <c:idx val="1"/>
            <c:invertIfNegative val="0"/>
            <c:bubble3D val="0"/>
            <c:spPr>
              <a:solidFill>
                <a:srgbClr val="006699"/>
              </a:solidFill>
              <a:ln>
                <a:noFill/>
              </a:ln>
              <a:effectLst/>
            </c:spPr>
            <c:extLst>
              <c:ext xmlns:c16="http://schemas.microsoft.com/office/drawing/2014/chart" uri="{C3380CC4-5D6E-409C-BE32-E72D297353CC}">
                <c16:uniqueId val="{00000003-8803-429E-AA2E-544BEBD71061}"/>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05-8803-429E-AA2E-544BEBD71061}"/>
              </c:ext>
            </c:extLst>
          </c:dPt>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ext>
              </c:extLst>
              <c:f>(Summary!$E$142,Summary!$G$142,Summary!$I$142)</c:f>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Summary!$E$150:$I$150</c15:sqref>
                  </c15:fullRef>
                </c:ext>
              </c:extLst>
              <c:f>(Summary!$E$150,Summary!$G$150,Summary!$I$150)</c:f>
              <c:numCache>
                <c:formatCode>#,##0.00</c:formatCode>
                <c:ptCount val="3"/>
                <c:pt idx="0">
                  <c:v>0</c:v>
                </c:pt>
                <c:pt idx="1">
                  <c:v>2.6492059348114498</c:v>
                </c:pt>
                <c:pt idx="2">
                  <c:v>1.6252178190381188</c:v>
                </c:pt>
              </c:numCache>
            </c:numRef>
          </c:val>
          <c:extLst xmlns:c15="http://schemas.microsoft.com/office/drawing/2012/chart">
            <c:ext xmlns:c16="http://schemas.microsoft.com/office/drawing/2014/chart" uri="{C3380CC4-5D6E-409C-BE32-E72D297353CC}">
              <c16:uniqueId val="{00000006-8803-429E-AA2E-544BEBD71061}"/>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Summary!$A$143</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uri="{02D57815-91ED-43cb-92C2-25804820EDAC}">
                        <c15:fullRef>
                          <c15:sqref>Summary!$E$143:$I$143</c15:sqref>
                        </c15:fullRef>
                        <c15:formulaRef>
                          <c15:sqref>(Summary!$E$143,Summary!$G$143,Summary!$I$143)</c15:sqref>
                        </c15:formulaRef>
                      </c:ext>
                    </c:extLst>
                    <c:numCache>
                      <c:formatCode>0</c:formatCode>
                      <c:ptCount val="3"/>
                      <c:pt idx="0">
                        <c:v>2023</c:v>
                      </c:pt>
                      <c:pt idx="1" formatCode="#,##0">
                        <c:v>0</c:v>
                      </c:pt>
                      <c:pt idx="2" formatCode="#,##0">
                        <c:v>0</c:v>
                      </c:pt>
                    </c:numCache>
                  </c:numRef>
                </c:val>
                <c:extLst>
                  <c:ext xmlns:c16="http://schemas.microsoft.com/office/drawing/2014/chart" uri="{C3380CC4-5D6E-409C-BE32-E72D297353CC}">
                    <c16:uniqueId val="{00000007-8803-429E-AA2E-544BEBD71061}"/>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Summary!$A$144</c15:sqref>
                        </c15:formulaRef>
                      </c:ext>
                    </c:extLst>
                    <c:strCache>
                      <c:ptCount val="1"/>
                      <c:pt idx="0">
                        <c:v>Total Scope 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Summary!$E$144:$I$144</c15:sqref>
                        </c15:fullRef>
                        <c15:formulaRef>
                          <c15:sqref>(Summary!$E$144,Summary!$G$144,Summary!$I$144)</c15:sqref>
                        </c15:formulaRef>
                      </c:ext>
                    </c:extLst>
                    <c:numCache>
                      <c:formatCode>#,##0</c:formatCode>
                      <c:ptCount val="3"/>
                      <c:pt idx="0">
                        <c:v>0</c:v>
                      </c:pt>
                      <c:pt idx="1">
                        <c:v>988.66666666666663</c:v>
                      </c:pt>
                      <c:pt idx="2">
                        <c:v>9576.0614901188546</c:v>
                      </c:pt>
                    </c:numCache>
                  </c:numRef>
                </c:val>
                <c:extLst xmlns:c15="http://schemas.microsoft.com/office/drawing/2012/chart">
                  <c:ext xmlns:c16="http://schemas.microsoft.com/office/drawing/2014/chart" uri="{C3380CC4-5D6E-409C-BE32-E72D297353CC}">
                    <c16:uniqueId val="{00000008-8803-429E-AA2E-544BEBD710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Summary!$A$145</c15:sqref>
                        </c15:formulaRef>
                      </c:ext>
                    </c:extLst>
                    <c:strCache>
                      <c:ptCount val="1"/>
                      <c:pt idx="0">
                        <c:v>Total Scope 2</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Summary!$E$145:$I$145</c15:sqref>
                        </c15:fullRef>
                        <c15:formulaRef>
                          <c15:sqref>(Summary!$E$145,Summary!$G$145,Summary!$I$145)</c15:sqref>
                        </c15:formulaRef>
                      </c:ext>
                    </c:extLst>
                    <c:numCache>
                      <c:formatCode>#,##0</c:formatCode>
                      <c:ptCount val="3"/>
                      <c:pt idx="0">
                        <c:v>0</c:v>
                      </c:pt>
                      <c:pt idx="1">
                        <c:v>277.66666666666669</c:v>
                      </c:pt>
                      <c:pt idx="2">
                        <c:v>3883.0924752249998</c:v>
                      </c:pt>
                    </c:numCache>
                  </c:numRef>
                </c:val>
                <c:extLst xmlns:c15="http://schemas.microsoft.com/office/drawing/2012/chart">
                  <c:ext xmlns:c16="http://schemas.microsoft.com/office/drawing/2014/chart" uri="{C3380CC4-5D6E-409C-BE32-E72D297353CC}">
                    <c16:uniqueId val="{00000009-8803-429E-AA2E-544BEBD710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Summary!$A$146</c15:sqref>
                        </c15:formulaRef>
                      </c:ext>
                    </c:extLst>
                    <c:strCache>
                      <c:ptCount val="1"/>
                      <c:pt idx="0">
                        <c:v>Total Scope 3</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Summary!$E$146:$I$146</c15:sqref>
                        </c15:fullRef>
                        <c15:formulaRef>
                          <c15:sqref>(Summary!$E$146,Summary!$G$146,Summary!$I$146)</c15:sqref>
                        </c15:formulaRef>
                      </c:ext>
                    </c:extLst>
                    <c:numCache>
                      <c:formatCode>#,##0</c:formatCode>
                      <c:ptCount val="3"/>
                      <c:pt idx="0">
                        <c:v>0</c:v>
                      </c:pt>
                      <c:pt idx="1">
                        <c:v>2263</c:v>
                      </c:pt>
                      <c:pt idx="2">
                        <c:v>75771.677740756873</c:v>
                      </c:pt>
                    </c:numCache>
                  </c:numRef>
                </c:val>
                <c:extLst xmlns:c15="http://schemas.microsoft.com/office/drawing/2012/chart">
                  <c:ext xmlns:c16="http://schemas.microsoft.com/office/drawing/2014/chart" uri="{C3380CC4-5D6E-409C-BE32-E72D297353CC}">
                    <c16:uniqueId val="{0000000A-8803-429E-AA2E-544BEBD7106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Summary!$A$147</c15:sqref>
                        </c15:formulaRef>
                      </c:ext>
                    </c:extLst>
                    <c:strCache>
                      <c:ptCount val="1"/>
                      <c:pt idx="0">
                        <c:v>GHG Emissions Scopes 1-2-3 </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Summary!$E$147:$I$147</c15:sqref>
                        </c15:fullRef>
                        <c15:formulaRef>
                          <c15:sqref>(Summary!$E$147,Summary!$G$147,Summary!$I$147)</c15:sqref>
                        </c15:formulaRef>
                      </c:ext>
                    </c:extLst>
                    <c:numCache>
                      <c:formatCode>#,##0</c:formatCode>
                      <c:ptCount val="3"/>
                      <c:pt idx="0">
                        <c:v>0</c:v>
                      </c:pt>
                      <c:pt idx="1">
                        <c:v>3529.3333333333298</c:v>
                      </c:pt>
                      <c:pt idx="2">
                        <c:v>89230.831706100726</c:v>
                      </c:pt>
                    </c:numCache>
                  </c:numRef>
                </c:val>
                <c:extLst xmlns:c15="http://schemas.microsoft.com/office/drawing/2012/chart">
                  <c:ext xmlns:c16="http://schemas.microsoft.com/office/drawing/2014/chart" uri="{C3380CC4-5D6E-409C-BE32-E72D297353CC}">
                    <c16:uniqueId val="{0000000B-8803-429E-AA2E-544BEBD7106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Summary!$A$148</c15:sqref>
                        </c15:formulaRef>
                      </c:ext>
                    </c:extLst>
                    <c:strCache>
                      <c:ptCount val="1"/>
                      <c:pt idx="0">
                        <c:v>Production* Dispatched Sold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Summary!$E$148:$I$148</c15:sqref>
                        </c15:fullRef>
                        <c15:formulaRef>
                          <c15:sqref>(Summary!$E$148,Summary!$G$148,Summary!$I$148)</c15:sqref>
                        </c15:formulaRef>
                      </c:ext>
                    </c:extLst>
                    <c:numCache>
                      <c:formatCode>#,##0</c:formatCode>
                      <c:ptCount val="3"/>
                      <c:pt idx="0">
                        <c:v>0</c:v>
                      </c:pt>
                      <c:pt idx="1">
                        <c:v>1674197.5</c:v>
                      </c:pt>
                      <c:pt idx="2">
                        <c:v>62961433.607756026</c:v>
                      </c:pt>
                    </c:numCache>
                  </c:numRef>
                </c:val>
                <c:extLst xmlns:c15="http://schemas.microsoft.com/office/drawing/2012/chart">
                  <c:ext xmlns:c16="http://schemas.microsoft.com/office/drawing/2014/chart" uri="{C3380CC4-5D6E-409C-BE32-E72D297353CC}">
                    <c16:uniqueId val="{0000000C-8803-429E-AA2E-544BEBD7106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Summary!$A$149</c15:sqref>
                        </c15:formulaRef>
                      </c:ext>
                    </c:extLst>
                    <c:strCache>
                      <c:ptCount val="1"/>
                      <c:pt idx="0">
                        <c:v>Production* Sold Dispatched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Summary!$E$149:$I$149</c15:sqref>
                        </c15:fullRef>
                        <c15:formulaRef>
                          <c15:sqref>(Summary!$E$149,Summary!$G$149,Summary!$I$149)</c15:sqref>
                        </c15:formulaRef>
                      </c:ext>
                    </c:extLst>
                    <c:numCache>
                      <c:formatCode>#,##0</c:formatCode>
                      <c:ptCount val="3"/>
                      <c:pt idx="0">
                        <c:v>0</c:v>
                      </c:pt>
                      <c:pt idx="1">
                        <c:v>186021.94444444444</c:v>
                      </c:pt>
                      <c:pt idx="2">
                        <c:v>6995714.8453062251</c:v>
                      </c:pt>
                    </c:numCache>
                  </c:numRef>
                </c:val>
                <c:extLst xmlns:c15="http://schemas.microsoft.com/office/drawing/2012/chart">
                  <c:ext xmlns:c16="http://schemas.microsoft.com/office/drawing/2014/chart" uri="{C3380CC4-5D6E-409C-BE32-E72D297353CC}">
                    <c16:uniqueId val="{0000000D-8803-429E-AA2E-544BEBD71061}"/>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kg co2/liter of wine</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0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Emissions intensities - most recent year </a:t>
            </a:r>
            <a:r>
              <a:rPr lang="en-US" sz="1000" i="1"/>
              <a:t>(Market</a:t>
            </a:r>
            <a:r>
              <a:rPr lang="en-US" sz="1000" i="1" baseline="0"/>
              <a:t> based)</a:t>
            </a:r>
            <a:endParaRPr lang="en-US" sz="1000" i="1"/>
          </a:p>
        </c:rich>
      </c:tx>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manualLayout>
          <c:layoutTarget val="inner"/>
          <c:xMode val="edge"/>
          <c:yMode val="edge"/>
          <c:x val="4.8857622468351042E-2"/>
          <c:y val="0.21220111640355827"/>
          <c:w val="0.93461758511342863"/>
          <c:h val="0.54352899182080239"/>
        </c:manualLayout>
      </c:layout>
      <c:barChart>
        <c:barDir val="col"/>
        <c:grouping val="clustered"/>
        <c:varyColors val="0"/>
        <c:ser>
          <c:idx val="1"/>
          <c:order val="0"/>
          <c:tx>
            <c:strRef>
              <c:f>Summary!$A$155</c:f>
              <c:strCache>
                <c:ptCount val="1"/>
                <c:pt idx="0">
                  <c:v>Reporting Year</c:v>
                </c:pt>
              </c:strCache>
              <c:extLst xmlns:c15="http://schemas.microsoft.com/office/drawing/2012/chart"/>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Summary!$E$155:$I$155</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7-8BB9-4421-97DA-E4C59164B527}"/>
            </c:ext>
          </c:extLst>
        </c:ser>
        <c:ser>
          <c:idx val="0"/>
          <c:order val="1"/>
          <c:tx>
            <c:strRef>
              <c:f>Summary!$A$156</c:f>
              <c:strCache>
                <c:ptCount val="1"/>
                <c:pt idx="0">
                  <c:v>Total Scope 1</c:v>
                </c:pt>
              </c:strCache>
              <c:extLst xmlns:c15="http://schemas.microsoft.com/office/drawing/2012/chart"/>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Summary!$E$156:$I$156</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8-8BB9-4421-97DA-E4C59164B527}"/>
            </c:ext>
          </c:extLst>
        </c:ser>
        <c:ser>
          <c:idx val="2"/>
          <c:order val="2"/>
          <c:tx>
            <c:strRef>
              <c:f>Summary!$A$157</c:f>
              <c:strCache>
                <c:ptCount val="1"/>
                <c:pt idx="0">
                  <c:v>Total Scope 2</c:v>
                </c:pt>
              </c:strCache>
              <c:extLst xmlns:c15="http://schemas.microsoft.com/office/drawing/2012/chart"/>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Summary!$E$157:$I$157</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9-8BB9-4421-97DA-E4C59164B527}"/>
            </c:ext>
          </c:extLst>
        </c:ser>
        <c:ser>
          <c:idx val="3"/>
          <c:order val="3"/>
          <c:tx>
            <c:strRef>
              <c:f>Summary!$A$158</c:f>
              <c:strCache>
                <c:ptCount val="1"/>
                <c:pt idx="0">
                  <c:v>Total Scope 3</c:v>
                </c:pt>
              </c:strCache>
              <c:extLst xmlns:c15="http://schemas.microsoft.com/office/drawing/2012/chart"/>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Summary!$E$158:$I$158</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A-8BB9-4421-97DA-E4C59164B527}"/>
            </c:ext>
          </c:extLst>
        </c:ser>
        <c:ser>
          <c:idx val="4"/>
          <c:order val="4"/>
          <c:tx>
            <c:strRef>
              <c:f>Summary!$A$159</c:f>
              <c:strCache>
                <c:ptCount val="1"/>
                <c:pt idx="0">
                  <c:v>GHG Emissions Scopes 1-2-3 </c:v>
                </c:pt>
              </c:strCache>
              <c:extLst xmlns:c15="http://schemas.microsoft.com/office/drawing/2012/chart"/>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Summary!$E$159:$I$159</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B-8BB9-4421-97DA-E4C59164B527}"/>
            </c:ext>
          </c:extLst>
        </c:ser>
        <c:ser>
          <c:idx val="5"/>
          <c:order val="5"/>
          <c:tx>
            <c:strRef>
              <c:f>Summary!$A$160</c:f>
              <c:strCache>
                <c:ptCount val="1"/>
                <c:pt idx="0">
                  <c:v>Production Volume (liters)</c:v>
                </c:pt>
              </c:strCache>
              <c:extLst xmlns:c15="http://schemas.microsoft.com/office/drawing/2012/chart"/>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Summary!$E$160:$I$160</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C-8BB9-4421-97DA-E4C59164B527}"/>
            </c:ext>
          </c:extLst>
        </c:ser>
        <c:ser>
          <c:idx val="6"/>
          <c:order val="6"/>
          <c:tx>
            <c:strRef>
              <c:f>Summary!$A$161</c:f>
              <c:strCache>
                <c:ptCount val="1"/>
                <c:pt idx="0">
                  <c:v>Production Volume (9L cases)</c:v>
                </c:pt>
              </c:strCache>
              <c:extLst xmlns:c15="http://schemas.microsoft.com/office/drawing/2012/chart"/>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Summary!$E$161:$I$161</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D-8BB9-4421-97DA-E4C59164B527}"/>
            </c:ext>
          </c:extLst>
        </c:ser>
        <c:ser>
          <c:idx val="7"/>
          <c:order val="7"/>
          <c:tx>
            <c:strRef>
              <c:f>Summary!$A$162</c:f>
              <c:strCache>
                <c:ptCount val="1"/>
                <c:pt idx="0">
                  <c:v>Emissions Intensity
kg of CO2 per Liter Produced</c:v>
                </c:pt>
              </c:strCache>
            </c:strRef>
          </c:tx>
          <c:spPr>
            <a:solidFill>
              <a:schemeClr val="accent2">
                <a:lumMod val="60000"/>
              </a:schemeClr>
            </a:solidFill>
            <a:ln>
              <a:noFill/>
            </a:ln>
            <a:effectLst/>
          </c:spPr>
          <c:invertIfNegative val="0"/>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Summary!$E$162:$I$162</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6-8BB9-4421-97DA-E4C59164B527}"/>
            </c:ext>
          </c:extLst>
        </c:ser>
        <c:dLbls>
          <c:dLblPos val="outEnd"/>
          <c:showLegendKey val="0"/>
          <c:showVal val="1"/>
          <c:showCatName val="0"/>
          <c:showSerName val="0"/>
          <c:showPercent val="0"/>
          <c:showBubbleSize val="0"/>
        </c:dLbls>
        <c:gapWidth val="444"/>
        <c:axId val="945755392"/>
        <c:axId val="888377760"/>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kg co2/liter of wine</a:t>
                </a:r>
                <a:endParaRPr lang="en-US" sz="1200">
                  <a:effectLst/>
                </a:endParaRPr>
              </a:p>
            </c:rich>
          </c:tx>
          <c:layout>
            <c:manualLayout>
              <c:xMode val="edge"/>
              <c:yMode val="edge"/>
              <c:x val="1.6723757391608873E-2"/>
              <c:y val="0.22920554616453337"/>
            </c:manualLayout>
          </c:layout>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0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ABSOLUTE Emissions - BASELINE </a:t>
            </a:r>
            <a:r>
              <a:rPr lang="en-US" sz="1100" i="1" baseline="0"/>
              <a:t>(location based)</a:t>
            </a:r>
            <a:endParaRPr lang="en-US"/>
          </a:p>
        </c:rich>
      </c:tx>
      <c:layout>
        <c:manualLayout>
          <c:xMode val="edge"/>
          <c:yMode val="edge"/>
          <c:x val="9.9572917806402358E-2"/>
          <c:y val="2.5210075693086847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4"/>
          <c:order val="4"/>
          <c:tx>
            <c:strRef>
              <c:f>Summary!$A$147</c:f>
              <c:strCache>
                <c:ptCount val="1"/>
                <c:pt idx="0">
                  <c:v>GHG Emissions Scopes 1-2-3 </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784E-4CC0-B558-C84FDAF15C7F}"/>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784E-4CC0-B558-C84FDAF15C7F}"/>
              </c:ext>
            </c:extLst>
          </c:dPt>
          <c:dPt>
            <c:idx val="2"/>
            <c:invertIfNegative val="0"/>
            <c:bubble3D val="0"/>
            <c:spPr>
              <a:solidFill>
                <a:srgbClr val="7030A0"/>
              </a:solidFill>
              <a:ln>
                <a:noFill/>
              </a:ln>
              <a:effectLst/>
            </c:spPr>
            <c:extLst>
              <c:ext xmlns:c16="http://schemas.microsoft.com/office/drawing/2014/chart" uri="{C3380CC4-5D6E-409C-BE32-E72D297353CC}">
                <c16:uniqueId val="{00000005-784E-4CC0-B558-C84FDAF15C7F}"/>
              </c:ext>
            </c:extLst>
          </c:dPt>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Summary!$B$142:$D$142</c:f>
              <c:strCache>
                <c:ptCount val="3"/>
                <c:pt idx="0">
                  <c:v>Our Company (Baseline)</c:v>
                </c:pt>
                <c:pt idx="1">
                  <c:v>IWCA Average 
(Small Wineries, Baseline)</c:v>
                </c:pt>
                <c:pt idx="2">
                  <c:v>IWCA Average 
(Large Wineries, Baseline)</c:v>
                </c:pt>
              </c:strCache>
            </c:strRef>
          </c:cat>
          <c:val>
            <c:numRef>
              <c:f>Summary!$B$147:$D$147</c:f>
              <c:numCache>
                <c:formatCode>#,##0</c:formatCode>
                <c:ptCount val="3"/>
                <c:pt idx="0">
                  <c:v>0</c:v>
                </c:pt>
                <c:pt idx="1">
                  <c:v>4389.8433333333332</c:v>
                </c:pt>
                <c:pt idx="2">
                  <c:v>63031.964763031858</c:v>
                </c:pt>
              </c:numCache>
            </c:numRef>
          </c:val>
          <c:extLst>
            <c:ext xmlns:c16="http://schemas.microsoft.com/office/drawing/2014/chart" uri="{C3380CC4-5D6E-409C-BE32-E72D297353CC}">
              <c16:uniqueId val="{00000006-784E-4CC0-B558-C84FDAF15C7F}"/>
            </c:ext>
          </c:extLst>
        </c:ser>
        <c:dLbls>
          <c:dLblPos val="outEnd"/>
          <c:showLegendKey val="0"/>
          <c:showVal val="1"/>
          <c:showCatName val="0"/>
          <c:showSerName val="0"/>
          <c:showPercent val="0"/>
          <c:showBubbleSize val="0"/>
        </c:dLbls>
        <c:gapWidth val="444"/>
        <c:overlap val="-90"/>
        <c:axId val="850208544"/>
        <c:axId val="1021227680"/>
        <c:extLst>
          <c:ext xmlns:c15="http://schemas.microsoft.com/office/drawing/2012/chart" uri="{02D57815-91ED-43cb-92C2-25804820EDAC}">
            <c15:filteredBarSeries>
              <c15:ser>
                <c:idx val="0"/>
                <c:order val="0"/>
                <c:tx>
                  <c:strRef>
                    <c:extLst>
                      <c:ext uri="{02D57815-91ED-43cb-92C2-25804820EDAC}">
                        <c15:formulaRef>
                          <c15:sqref>Summary!$A$143</c15:sqref>
                        </c15:formulaRef>
                      </c:ext>
                    </c:extLst>
                    <c:strCache>
                      <c:ptCount val="1"/>
                      <c:pt idx="0">
                        <c:v>Reporting Year</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c:ext uri="{02D57815-91ED-43cb-92C2-25804820EDAC}">
                        <c15:formulaRef>
                          <c15:sqref>Summary!$B$143:$D$143</c15:sqref>
                        </c15:formulaRef>
                      </c:ext>
                    </c:extLst>
                    <c:numCache>
                      <c:formatCode>#,##0</c:formatCode>
                      <c:ptCount val="3"/>
                      <c:pt idx="0" formatCode="0">
                        <c:v>2023</c:v>
                      </c:pt>
                      <c:pt idx="1">
                        <c:v>0</c:v>
                      </c:pt>
                      <c:pt idx="2">
                        <c:v>0</c:v>
                      </c:pt>
                    </c:numCache>
                  </c:numRef>
                </c:val>
                <c:extLst>
                  <c:ext xmlns:c16="http://schemas.microsoft.com/office/drawing/2014/chart" uri="{C3380CC4-5D6E-409C-BE32-E72D297353CC}">
                    <c16:uniqueId val="{00000007-784E-4CC0-B558-C84FDAF15C7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Summary!$A$144</c15:sqref>
                        </c15:formulaRef>
                      </c:ext>
                    </c:extLst>
                    <c:strCache>
                      <c:ptCount val="1"/>
                      <c:pt idx="0">
                        <c:v>Total Scope 1</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Summary!$B$144:$D$144</c15:sqref>
                        </c15:formulaRef>
                      </c:ext>
                    </c:extLst>
                    <c:numCache>
                      <c:formatCode>#,##0</c:formatCode>
                      <c:ptCount val="3"/>
                      <c:pt idx="0">
                        <c:v>0</c:v>
                      </c:pt>
                      <c:pt idx="1">
                        <c:v>477.7</c:v>
                      </c:pt>
                      <c:pt idx="2">
                        <c:v>4782.9777787298872</c:v>
                      </c:pt>
                    </c:numCache>
                  </c:numRef>
                </c:val>
                <c:extLst xmlns:c15="http://schemas.microsoft.com/office/drawing/2012/chart">
                  <c:ext xmlns:c16="http://schemas.microsoft.com/office/drawing/2014/chart" uri="{C3380CC4-5D6E-409C-BE32-E72D297353CC}">
                    <c16:uniqueId val="{00000008-784E-4CC0-B558-C84FDAF15C7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Summary!$A$145</c15:sqref>
                        </c15:formulaRef>
                      </c:ext>
                    </c:extLst>
                    <c:strCache>
                      <c:ptCount val="1"/>
                      <c:pt idx="0">
                        <c:v>Total Scope 2</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Summary!$B$145:$D$145</c15:sqref>
                        </c15:formulaRef>
                      </c:ext>
                    </c:extLst>
                    <c:numCache>
                      <c:formatCode>#,##0</c:formatCode>
                      <c:ptCount val="3"/>
                      <c:pt idx="0">
                        <c:v>0</c:v>
                      </c:pt>
                      <c:pt idx="1">
                        <c:v>655.81000000000006</c:v>
                      </c:pt>
                      <c:pt idx="2">
                        <c:v>2522.8813078054663</c:v>
                      </c:pt>
                    </c:numCache>
                  </c:numRef>
                </c:val>
                <c:extLst xmlns:c15="http://schemas.microsoft.com/office/drawing/2012/chart">
                  <c:ext xmlns:c16="http://schemas.microsoft.com/office/drawing/2014/chart" uri="{C3380CC4-5D6E-409C-BE32-E72D297353CC}">
                    <c16:uniqueId val="{00000009-784E-4CC0-B558-C84FDAF15C7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Summary!$A$146</c15:sqref>
                        </c15:formulaRef>
                      </c:ext>
                    </c:extLst>
                    <c:strCache>
                      <c:ptCount val="1"/>
                      <c:pt idx="0">
                        <c:v>Total Scope 3</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Summary!$B$146:$D$146</c15:sqref>
                        </c15:formulaRef>
                      </c:ext>
                    </c:extLst>
                    <c:numCache>
                      <c:formatCode>#,##0</c:formatCode>
                      <c:ptCount val="3"/>
                      <c:pt idx="0">
                        <c:v>0</c:v>
                      </c:pt>
                      <c:pt idx="1">
                        <c:v>3256.3333333333335</c:v>
                      </c:pt>
                      <c:pt idx="2">
                        <c:v>55726.105676496503</c:v>
                      </c:pt>
                    </c:numCache>
                  </c:numRef>
                </c:val>
                <c:extLst xmlns:c15="http://schemas.microsoft.com/office/drawing/2012/chart">
                  <c:ext xmlns:c16="http://schemas.microsoft.com/office/drawing/2014/chart" uri="{C3380CC4-5D6E-409C-BE32-E72D297353CC}">
                    <c16:uniqueId val="{0000000A-784E-4CC0-B558-C84FDAF15C7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Summary!$A$148</c15:sqref>
                        </c15:formulaRef>
                      </c:ext>
                    </c:extLst>
                    <c:strCache>
                      <c:ptCount val="1"/>
                      <c:pt idx="0">
                        <c:v>Production* Dispatched Sold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Summary!$B$148:$D$148</c15:sqref>
                        </c15:formulaRef>
                      </c:ext>
                    </c:extLst>
                    <c:numCache>
                      <c:formatCode>#,##0</c:formatCode>
                      <c:ptCount val="3"/>
                      <c:pt idx="0">
                        <c:v>0</c:v>
                      </c:pt>
                      <c:pt idx="1">
                        <c:v>962332.66666666663</c:v>
                      </c:pt>
                      <c:pt idx="2">
                        <c:v>36162593.75</c:v>
                      </c:pt>
                    </c:numCache>
                  </c:numRef>
                </c:val>
                <c:extLst xmlns:c15="http://schemas.microsoft.com/office/drawing/2012/chart">
                  <c:ext xmlns:c16="http://schemas.microsoft.com/office/drawing/2014/chart" uri="{C3380CC4-5D6E-409C-BE32-E72D297353CC}">
                    <c16:uniqueId val="{0000000B-784E-4CC0-B558-C84FDAF15C7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Summary!$A$149</c15:sqref>
                        </c15:formulaRef>
                      </c:ext>
                    </c:extLst>
                    <c:strCache>
                      <c:ptCount val="1"/>
                      <c:pt idx="0">
                        <c:v>Production* Sold Dispatched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Summary!$B$149:$D$149</c15:sqref>
                        </c15:formulaRef>
                      </c:ext>
                    </c:extLst>
                    <c:numCache>
                      <c:formatCode>#,##0</c:formatCode>
                      <c:ptCount val="3"/>
                      <c:pt idx="0">
                        <c:v>0</c:v>
                      </c:pt>
                      <c:pt idx="1">
                        <c:v>106925.85185185185</c:v>
                      </c:pt>
                      <c:pt idx="2">
                        <c:v>4018065.972222222</c:v>
                      </c:pt>
                    </c:numCache>
                  </c:numRef>
                </c:val>
                <c:extLst xmlns:c15="http://schemas.microsoft.com/office/drawing/2012/chart">
                  <c:ext xmlns:c16="http://schemas.microsoft.com/office/drawing/2014/chart" uri="{C3380CC4-5D6E-409C-BE32-E72D297353CC}">
                    <c16:uniqueId val="{0000000C-784E-4CC0-B558-C84FDAF15C7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Summary!$A$150</c15:sqref>
                        </c15:formulaRef>
                      </c:ext>
                    </c:extLst>
                    <c:strCache>
                      <c:ptCount val="1"/>
                      <c:pt idx="0">
                        <c:v>Emissions Intensity
kg of CO2 per Liter Produced</c:v>
                      </c:pt>
                    </c:strCache>
                  </c:strRef>
                </c:tx>
                <c:spPr>
                  <a:solidFill>
                    <a:schemeClr val="accent2">
                      <a:lumMod val="60000"/>
                    </a:schemeClr>
                  </a:solidFill>
                  <a:ln>
                    <a:solidFill>
                      <a:schemeClr val="accent6">
                        <a:lumMod val="75000"/>
                      </a:schemeClr>
                    </a:solidFill>
                  </a:ln>
                  <a:effectLst/>
                </c:spPr>
                <c:invertIfNegative val="0"/>
                <c:dPt>
                  <c:idx val="1"/>
                  <c:invertIfNegative val="0"/>
                  <c:bubble3D val="0"/>
                  <c:spPr>
                    <a:solidFill>
                      <a:srgbClr val="006699"/>
                    </a:solidFill>
                    <a:ln>
                      <a:solidFill>
                        <a:schemeClr val="accent6">
                          <a:lumMod val="75000"/>
                        </a:schemeClr>
                      </a:solidFill>
                    </a:ln>
                    <a:effectLst/>
                  </c:spPr>
                  <c:extLst xmlns:c15="http://schemas.microsoft.com/office/drawing/2012/chart">
                    <c:ext xmlns:c16="http://schemas.microsoft.com/office/drawing/2014/chart" uri="{C3380CC4-5D6E-409C-BE32-E72D297353CC}">
                      <c16:uniqueId val="{0000000E-784E-4CC0-B558-C84FDAF15C7F}"/>
                    </c:ext>
                  </c:extLst>
                </c:dPt>
                <c:dPt>
                  <c:idx val="2"/>
                  <c:invertIfNegative val="0"/>
                  <c:bubble3D val="0"/>
                  <c:spPr>
                    <a:solidFill>
                      <a:schemeClr val="accent6">
                        <a:lumMod val="75000"/>
                      </a:schemeClr>
                    </a:solidFill>
                    <a:ln>
                      <a:solidFill>
                        <a:schemeClr val="accent6">
                          <a:lumMod val="75000"/>
                        </a:schemeClr>
                      </a:solidFill>
                    </a:ln>
                    <a:effectLst/>
                  </c:spPr>
                  <c:extLst xmlns:c15="http://schemas.microsoft.com/office/drawing/2012/chart">
                    <c:ext xmlns:c16="http://schemas.microsoft.com/office/drawing/2014/chart" uri="{C3380CC4-5D6E-409C-BE32-E72D297353CC}">
                      <c16:uniqueId val="{00000010-784E-4CC0-B558-C84FDAF15C7F}"/>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Summary!$B$142:$D$142</c15:sqref>
                        </c15:formulaRef>
                      </c:ext>
                    </c:extLst>
                    <c:strCache>
                      <c:ptCount val="3"/>
                      <c:pt idx="0">
                        <c:v>Our Company (Baseline)</c:v>
                      </c:pt>
                      <c:pt idx="1">
                        <c:v>IWCA Average 
(Small Wineries, Baseline)</c:v>
                      </c:pt>
                      <c:pt idx="2">
                        <c:v>IWCA Average 
(Large Wineries, Baseline)</c:v>
                      </c:pt>
                    </c:strCache>
                  </c:strRef>
                </c:cat>
                <c:val>
                  <c:numRef>
                    <c:extLst xmlns:c15="http://schemas.microsoft.com/office/drawing/2012/chart">
                      <c:ext xmlns:c15="http://schemas.microsoft.com/office/drawing/2012/chart" uri="{02D57815-91ED-43cb-92C2-25804820EDAC}">
                        <c15:formulaRef>
                          <c15:sqref>Summary!$B$150:$D$150</c15:sqref>
                        </c15:formulaRef>
                      </c:ext>
                    </c:extLst>
                    <c:numCache>
                      <c:formatCode>#,##0.00</c:formatCode>
                      <c:ptCount val="3"/>
                      <c:pt idx="0">
                        <c:v>0</c:v>
                      </c:pt>
                      <c:pt idx="1">
                        <c:v>2.4779540826240147</c:v>
                      </c:pt>
                      <c:pt idx="2">
                        <c:v>2.281566087190372</c:v>
                      </c:pt>
                    </c:numCache>
                  </c:numRef>
                </c:val>
                <c:extLst xmlns:c15="http://schemas.microsoft.com/office/drawing/2012/chart">
                  <c:ext xmlns:c16="http://schemas.microsoft.com/office/drawing/2014/chart" uri="{C3380CC4-5D6E-409C-BE32-E72D297353CC}">
                    <c16:uniqueId val="{00000011-784E-4CC0-B558-C84FDAF15C7F}"/>
                  </c:ext>
                </c:extLst>
              </c15:ser>
            </c15:filteredBarSeries>
          </c:ext>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MT CO2e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a:t>
            </a:r>
            <a:r>
              <a:rPr lang="en-US" baseline="0"/>
              <a:t> ABSOLUTE Emissions - BASELINE </a:t>
            </a:r>
            <a:r>
              <a:rPr lang="en-US" sz="1100" i="1" baseline="0"/>
              <a:t>(Market based)</a:t>
            </a:r>
            <a:endParaRPr lang="en-US"/>
          </a:p>
        </c:rich>
      </c:tx>
      <c:layout>
        <c:manualLayout>
          <c:xMode val="edge"/>
          <c:yMode val="edge"/>
          <c:x val="0.12273787756213936"/>
          <c:y val="2.0920495199652358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barChart>
        <c:barDir val="col"/>
        <c:grouping val="clustered"/>
        <c:varyColors val="0"/>
        <c:ser>
          <c:idx val="0"/>
          <c:order val="0"/>
          <c:tx>
            <c:strRef>
              <c:f>Summary!$A$155</c:f>
              <c:strCache>
                <c:ptCount val="1"/>
                <c:pt idx="0">
                  <c:v>Reporting Year</c:v>
                </c:pt>
              </c:strCache>
              <c:extLst xmlns:c15="http://schemas.microsoft.com/office/drawing/2012/chart"/>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Summary!$B$155:$D$155</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7-7E83-4DF6-BC59-99EA35F69563}"/>
            </c:ext>
          </c:extLst>
        </c:ser>
        <c:ser>
          <c:idx val="1"/>
          <c:order val="1"/>
          <c:tx>
            <c:strRef>
              <c:f>Summary!$A$156</c:f>
              <c:strCache>
                <c:ptCount val="1"/>
                <c:pt idx="0">
                  <c:v>Total Scope 1</c:v>
                </c:pt>
              </c:strCache>
              <c:extLst xmlns:c15="http://schemas.microsoft.com/office/drawing/2012/chart"/>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Summary!$B$156:$D$156</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8-7E83-4DF6-BC59-99EA35F69563}"/>
            </c:ext>
          </c:extLst>
        </c:ser>
        <c:ser>
          <c:idx val="2"/>
          <c:order val="2"/>
          <c:tx>
            <c:strRef>
              <c:f>Summary!$A$157</c:f>
              <c:strCache>
                <c:ptCount val="1"/>
                <c:pt idx="0">
                  <c:v>Total Scope 2</c:v>
                </c:pt>
              </c:strCache>
              <c:extLst xmlns:c15="http://schemas.microsoft.com/office/drawing/2012/chart"/>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Summary!$B$157:$D$157</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9-7E83-4DF6-BC59-99EA35F69563}"/>
            </c:ext>
          </c:extLst>
        </c:ser>
        <c:ser>
          <c:idx val="3"/>
          <c:order val="3"/>
          <c:tx>
            <c:strRef>
              <c:f>Summary!$A$158</c:f>
              <c:strCache>
                <c:ptCount val="1"/>
                <c:pt idx="0">
                  <c:v>Total Scope 3</c:v>
                </c:pt>
              </c:strCache>
              <c:extLst xmlns:c15="http://schemas.microsoft.com/office/drawing/2012/chart"/>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Summary!$B$158:$D$158</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A-7E83-4DF6-BC59-99EA35F69563}"/>
            </c:ext>
          </c:extLst>
        </c:ser>
        <c:ser>
          <c:idx val="4"/>
          <c:order val="4"/>
          <c:tx>
            <c:strRef>
              <c:f>Summary!$A$159</c:f>
              <c:strCache>
                <c:ptCount val="1"/>
                <c:pt idx="0">
                  <c:v>GHG Emissions Scopes 1-2-3 </c:v>
                </c:pt>
              </c:strCache>
            </c:strRef>
          </c:tx>
          <c:spPr>
            <a:solidFill>
              <a:schemeClr val="accent5"/>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Summary!$B$159:$D$159</c:f>
            </c:numRef>
          </c:val>
          <c:extLs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6-7E83-4DF6-BC59-99EA35F69563}"/>
            </c:ext>
          </c:extLst>
        </c:ser>
        <c:ser>
          <c:idx val="5"/>
          <c:order val="5"/>
          <c:tx>
            <c:strRef>
              <c:f>Summary!$A$160</c:f>
              <c:strCache>
                <c:ptCount val="1"/>
                <c:pt idx="0">
                  <c:v>Production Volume (liters)</c:v>
                </c:pt>
              </c:strCache>
              <c:extLst xmlns:c15="http://schemas.microsoft.com/office/drawing/2012/chart"/>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Summary!$B$160:$D$160</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B-7E83-4DF6-BC59-99EA35F69563}"/>
            </c:ext>
          </c:extLst>
        </c:ser>
        <c:ser>
          <c:idx val="6"/>
          <c:order val="6"/>
          <c:tx>
            <c:strRef>
              <c:f>Summary!$A$161</c:f>
              <c:strCache>
                <c:ptCount val="1"/>
                <c:pt idx="0">
                  <c:v>Production Volume (9L cases)</c:v>
                </c:pt>
              </c:strCache>
              <c:extLst xmlns:c15="http://schemas.microsoft.com/office/drawing/2012/chart"/>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Summary!$B$161:$D$161</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0C-7E83-4DF6-BC59-99EA35F69563}"/>
            </c:ext>
          </c:extLst>
        </c:ser>
        <c:ser>
          <c:idx val="7"/>
          <c:order val="7"/>
          <c:tx>
            <c:strRef>
              <c:f>Summary!$A$162</c:f>
              <c:strCache>
                <c:ptCount val="1"/>
                <c:pt idx="0">
                  <c:v>Emissions Intensity
kg of CO2 per Liter Produced</c:v>
                </c:pt>
              </c:strCache>
              <c:extLst xmlns:c15="http://schemas.microsoft.com/office/drawing/2012/chart"/>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Summary!$B$162:$D$162</c:f>
              <c:extLst xmlns:c15="http://schemas.microsoft.com/office/drawing/2012/chart"/>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Summary!$B$154:$D$154</c15:sqref>
                        </c15:formulaRef>
                      </c:ext>
                    </c:extLst>
                  </c:multiLvlStrRef>
                </c15:cat>
              </c15:filteredCategoryTitle>
            </c:ext>
            <c:ext xmlns:c16="http://schemas.microsoft.com/office/drawing/2014/chart" uri="{C3380CC4-5D6E-409C-BE32-E72D297353CC}">
              <c16:uniqueId val="{00000011-7E83-4DF6-BC59-99EA35F69563}"/>
            </c:ext>
          </c:extLst>
        </c:ser>
        <c:dLbls>
          <c:dLblPos val="outEnd"/>
          <c:showLegendKey val="0"/>
          <c:showVal val="1"/>
          <c:showCatName val="0"/>
          <c:showSerName val="0"/>
          <c:showPercent val="0"/>
          <c:showBubbleSize val="0"/>
        </c:dLbls>
        <c:gapWidth val="444"/>
        <c:overlap val="-90"/>
        <c:axId val="850208544"/>
        <c:axId val="1021227680"/>
        <c:extLst/>
      </c:barChart>
      <c:catAx>
        <c:axId val="850208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1021227680"/>
        <c:crosses val="autoZero"/>
        <c:auto val="1"/>
        <c:lblAlgn val="ctr"/>
        <c:lblOffset val="100"/>
        <c:noMultiLvlLbl val="0"/>
      </c:catAx>
      <c:valAx>
        <c:axId val="102122768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a:t>MT CO2E</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 sourceLinked="1"/>
        <c:majorTickMark val="none"/>
        <c:minorTickMark val="none"/>
        <c:tickLblPos val="nextTo"/>
        <c:crossAx val="850208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ABSOLUTE Emissions - most recent year </a:t>
            </a:r>
            <a:r>
              <a:rPr lang="en-US" sz="1000" i="1"/>
              <a:t>(location</a:t>
            </a:r>
            <a:r>
              <a:rPr lang="en-US" sz="1000" i="1" baseline="0"/>
              <a:t> based)</a:t>
            </a:r>
            <a:endParaRPr lang="en-US" sz="1000" i="1"/>
          </a:p>
        </c:rich>
      </c:tx>
      <c:layout>
        <c:manualLayout>
          <c:xMode val="edge"/>
          <c:yMode val="edge"/>
          <c:x val="6.0778248139483425E-2"/>
          <c:y val="8.440731113531821E-3"/>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manualLayout>
          <c:layoutTarget val="inner"/>
          <c:xMode val="edge"/>
          <c:yMode val="edge"/>
          <c:x val="4.3423755055304276E-2"/>
          <c:y val="0.19256863411025721"/>
          <c:w val="0.94457749327910701"/>
          <c:h val="0.57860751787957376"/>
        </c:manualLayout>
      </c:layout>
      <c:barChart>
        <c:barDir val="col"/>
        <c:grouping val="clustered"/>
        <c:varyColors val="0"/>
        <c:ser>
          <c:idx val="4"/>
          <c:order val="4"/>
          <c:tx>
            <c:strRef>
              <c:f>Summary!$A$147</c:f>
              <c:strCache>
                <c:ptCount val="1"/>
                <c:pt idx="0">
                  <c:v>GHG Emissions Scopes 1-2-3 </c:v>
                </c:pt>
              </c:strCache>
            </c:strRef>
          </c:tx>
          <c:spPr>
            <a:solidFill>
              <a:schemeClr val="accent5"/>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1-33D9-49B3-8DC5-BF1C129A23FA}"/>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3-33D9-49B3-8DC5-BF1C129A23FA}"/>
              </c:ext>
            </c:extLst>
          </c:dPt>
          <c:dPt>
            <c:idx val="2"/>
            <c:invertIfNegative val="0"/>
            <c:bubble3D val="0"/>
            <c:spPr>
              <a:solidFill>
                <a:srgbClr val="7030A0"/>
              </a:solidFill>
              <a:ln>
                <a:noFill/>
              </a:ln>
              <a:effectLst/>
            </c:spPr>
            <c:extLst>
              <c:ext xmlns:c16="http://schemas.microsoft.com/office/drawing/2014/chart" uri="{C3380CC4-5D6E-409C-BE32-E72D297353CC}">
                <c16:uniqueId val="{00000005-33D9-49B3-8DC5-BF1C129A23FA}"/>
              </c:ext>
            </c:extLst>
          </c:dPt>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ext>
              </c:extLst>
              <c:f>(Summary!$E$142,Summary!$G$142,Summary!$I$142)</c:f>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Summary!$E$147:$I$147</c15:sqref>
                  </c15:fullRef>
                </c:ext>
              </c:extLst>
              <c:f>(Summary!$E$147,Summary!$G$147,Summary!$I$147)</c:f>
              <c:numCache>
                <c:formatCode>#,##0</c:formatCode>
                <c:ptCount val="3"/>
                <c:pt idx="0">
                  <c:v>0</c:v>
                </c:pt>
                <c:pt idx="1">
                  <c:v>3529.3333333333298</c:v>
                </c:pt>
                <c:pt idx="2">
                  <c:v>89230.831706100726</c:v>
                </c:pt>
              </c:numCache>
            </c:numRef>
          </c:val>
          <c:extLst xmlns:c15="http://schemas.microsoft.com/office/drawing/2012/chart">
            <c:ext xmlns:c16="http://schemas.microsoft.com/office/drawing/2014/chart" uri="{C3380CC4-5D6E-409C-BE32-E72D297353CC}">
              <c16:uniqueId val="{00000006-33D9-49B3-8DC5-BF1C129A23FA}"/>
            </c:ext>
          </c:extLst>
        </c:ser>
        <c:dLbls>
          <c:dLblPos val="outEnd"/>
          <c:showLegendKey val="0"/>
          <c:showVal val="1"/>
          <c:showCatName val="0"/>
          <c:showSerName val="0"/>
          <c:showPercent val="0"/>
          <c:showBubbleSize val="0"/>
        </c:dLbls>
        <c:gapWidth val="444"/>
        <c:axId val="945755392"/>
        <c:axId val="888377760"/>
        <c:extLst>
          <c:ext xmlns:c15="http://schemas.microsoft.com/office/drawing/2012/chart" uri="{02D57815-91ED-43cb-92C2-25804820EDAC}">
            <c15:filteredBarSeries>
              <c15:ser>
                <c:idx val="1"/>
                <c:order val="0"/>
                <c:tx>
                  <c:strRef>
                    <c:extLst>
                      <c:ext uri="{02D57815-91ED-43cb-92C2-25804820EDAC}">
                        <c15:formulaRef>
                          <c15:sqref>Summary!$A$143</c15:sqref>
                        </c15:formulaRef>
                      </c:ext>
                    </c:extLst>
                    <c:strCache>
                      <c:ptCount val="1"/>
                      <c:pt idx="0">
                        <c:v>Reporting Year</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cat>
                  <c:strRef>
                    <c:extLst>
                      <c:ex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uri="{02D57815-91ED-43cb-92C2-25804820EDAC}">
                        <c15:fullRef>
                          <c15:sqref>Summary!$E$143:$I$143</c15:sqref>
                        </c15:fullRef>
                        <c15:formulaRef>
                          <c15:sqref>(Summary!$E$143,Summary!$G$143,Summary!$I$143)</c15:sqref>
                        </c15:formulaRef>
                      </c:ext>
                    </c:extLst>
                    <c:numCache>
                      <c:formatCode>0</c:formatCode>
                      <c:ptCount val="3"/>
                      <c:pt idx="0">
                        <c:v>2023</c:v>
                      </c:pt>
                      <c:pt idx="1" formatCode="#,##0">
                        <c:v>0</c:v>
                      </c:pt>
                      <c:pt idx="2" formatCode="#,##0">
                        <c:v>0</c:v>
                      </c:pt>
                    </c:numCache>
                  </c:numRef>
                </c:val>
                <c:extLst>
                  <c:ext xmlns:c16="http://schemas.microsoft.com/office/drawing/2014/chart" uri="{C3380CC4-5D6E-409C-BE32-E72D297353CC}">
                    <c16:uniqueId val="{00000007-33D9-49B3-8DC5-BF1C129A23FA}"/>
                  </c:ext>
                </c:extLst>
              </c15:ser>
            </c15:filteredBarSeries>
            <c15:filteredBarSeries>
              <c15:ser>
                <c:idx val="0"/>
                <c:order val="1"/>
                <c:tx>
                  <c:strRef>
                    <c:extLst xmlns:c15="http://schemas.microsoft.com/office/drawing/2012/chart">
                      <c:ext xmlns:c15="http://schemas.microsoft.com/office/drawing/2012/chart" uri="{02D57815-91ED-43cb-92C2-25804820EDAC}">
                        <c15:formulaRef>
                          <c15:sqref>Summary!$A$144</c15:sqref>
                        </c15:formulaRef>
                      </c:ext>
                    </c:extLst>
                    <c:strCache>
                      <c:ptCount val="1"/>
                      <c:pt idx="0">
                        <c:v>Total Scope 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Summary!$E$144:$I$144</c15:sqref>
                        </c15:fullRef>
                        <c15:formulaRef>
                          <c15:sqref>(Summary!$E$144,Summary!$G$144,Summary!$I$144)</c15:sqref>
                        </c15:formulaRef>
                      </c:ext>
                    </c:extLst>
                    <c:numCache>
                      <c:formatCode>#,##0</c:formatCode>
                      <c:ptCount val="3"/>
                      <c:pt idx="0">
                        <c:v>0</c:v>
                      </c:pt>
                      <c:pt idx="1">
                        <c:v>988.66666666666663</c:v>
                      </c:pt>
                      <c:pt idx="2">
                        <c:v>9576.0614901188546</c:v>
                      </c:pt>
                    </c:numCache>
                  </c:numRef>
                </c:val>
                <c:extLst xmlns:c15="http://schemas.microsoft.com/office/drawing/2012/chart">
                  <c:ext xmlns:c16="http://schemas.microsoft.com/office/drawing/2014/chart" uri="{C3380CC4-5D6E-409C-BE32-E72D297353CC}">
                    <c16:uniqueId val="{00000008-33D9-49B3-8DC5-BF1C129A23F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Summary!$A$145</c15:sqref>
                        </c15:formulaRef>
                      </c:ext>
                    </c:extLst>
                    <c:strCache>
                      <c:ptCount val="1"/>
                      <c:pt idx="0">
                        <c:v>Total Scope 2</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Summary!$E$145:$I$145</c15:sqref>
                        </c15:fullRef>
                        <c15:formulaRef>
                          <c15:sqref>(Summary!$E$145,Summary!$G$145,Summary!$I$145)</c15:sqref>
                        </c15:formulaRef>
                      </c:ext>
                    </c:extLst>
                    <c:numCache>
                      <c:formatCode>#,##0</c:formatCode>
                      <c:ptCount val="3"/>
                      <c:pt idx="0">
                        <c:v>0</c:v>
                      </c:pt>
                      <c:pt idx="1">
                        <c:v>277.66666666666669</c:v>
                      </c:pt>
                      <c:pt idx="2">
                        <c:v>3883.0924752249998</c:v>
                      </c:pt>
                    </c:numCache>
                  </c:numRef>
                </c:val>
                <c:extLst xmlns:c15="http://schemas.microsoft.com/office/drawing/2012/chart">
                  <c:ext xmlns:c16="http://schemas.microsoft.com/office/drawing/2014/chart" uri="{C3380CC4-5D6E-409C-BE32-E72D297353CC}">
                    <c16:uniqueId val="{00000009-33D9-49B3-8DC5-BF1C129A23F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Summary!$A$146</c15:sqref>
                        </c15:formulaRef>
                      </c:ext>
                    </c:extLst>
                    <c:strCache>
                      <c:ptCount val="1"/>
                      <c:pt idx="0">
                        <c:v>Total Scope 3</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Summary!$E$146:$I$146</c15:sqref>
                        </c15:fullRef>
                        <c15:formulaRef>
                          <c15:sqref>(Summary!$E$146,Summary!$G$146,Summary!$I$146)</c15:sqref>
                        </c15:formulaRef>
                      </c:ext>
                    </c:extLst>
                    <c:numCache>
                      <c:formatCode>#,##0</c:formatCode>
                      <c:ptCount val="3"/>
                      <c:pt idx="0">
                        <c:v>0</c:v>
                      </c:pt>
                      <c:pt idx="1">
                        <c:v>2263</c:v>
                      </c:pt>
                      <c:pt idx="2">
                        <c:v>75771.677740756873</c:v>
                      </c:pt>
                    </c:numCache>
                  </c:numRef>
                </c:val>
                <c:extLst xmlns:c15="http://schemas.microsoft.com/office/drawing/2012/chart">
                  <c:ext xmlns:c16="http://schemas.microsoft.com/office/drawing/2014/chart" uri="{C3380CC4-5D6E-409C-BE32-E72D297353CC}">
                    <c16:uniqueId val="{0000000A-33D9-49B3-8DC5-BF1C129A23F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Summary!$A$148</c15:sqref>
                        </c15:formulaRef>
                      </c:ext>
                    </c:extLst>
                    <c:strCache>
                      <c:ptCount val="1"/>
                      <c:pt idx="0">
                        <c:v>Production* Dispatched Sold Volume (liters)</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Summary!$E$148:$I$148</c15:sqref>
                        </c15:fullRef>
                        <c15:formulaRef>
                          <c15:sqref>(Summary!$E$148,Summary!$G$148,Summary!$I$148)</c15:sqref>
                        </c15:formulaRef>
                      </c:ext>
                    </c:extLst>
                    <c:numCache>
                      <c:formatCode>#,##0</c:formatCode>
                      <c:ptCount val="3"/>
                      <c:pt idx="0">
                        <c:v>0</c:v>
                      </c:pt>
                      <c:pt idx="1">
                        <c:v>1674197.5</c:v>
                      </c:pt>
                      <c:pt idx="2">
                        <c:v>62961433.607756026</c:v>
                      </c:pt>
                    </c:numCache>
                  </c:numRef>
                </c:val>
                <c:extLst xmlns:c15="http://schemas.microsoft.com/office/drawing/2012/chart">
                  <c:ext xmlns:c16="http://schemas.microsoft.com/office/drawing/2014/chart" uri="{C3380CC4-5D6E-409C-BE32-E72D297353CC}">
                    <c16:uniqueId val="{0000000B-33D9-49B3-8DC5-BF1C129A23F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Summary!$A$149</c15:sqref>
                        </c15:formulaRef>
                      </c:ext>
                    </c:extLst>
                    <c:strCache>
                      <c:ptCount val="1"/>
                      <c:pt idx="0">
                        <c:v>Production* Sold Dispatched Volume (9L cases)</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Summary!$E$149:$I$149</c15:sqref>
                        </c15:fullRef>
                        <c15:formulaRef>
                          <c15:sqref>(Summary!$E$149,Summary!$G$149,Summary!$I$149)</c15:sqref>
                        </c15:formulaRef>
                      </c:ext>
                    </c:extLst>
                    <c:numCache>
                      <c:formatCode>#,##0</c:formatCode>
                      <c:ptCount val="3"/>
                      <c:pt idx="0">
                        <c:v>0</c:v>
                      </c:pt>
                      <c:pt idx="1">
                        <c:v>186021.94444444444</c:v>
                      </c:pt>
                      <c:pt idx="2">
                        <c:v>6995714.8453062251</c:v>
                      </c:pt>
                    </c:numCache>
                  </c:numRef>
                </c:val>
                <c:extLst xmlns:c15="http://schemas.microsoft.com/office/drawing/2012/chart">
                  <c:ext xmlns:c16="http://schemas.microsoft.com/office/drawing/2014/chart" uri="{C3380CC4-5D6E-409C-BE32-E72D297353CC}">
                    <c16:uniqueId val="{0000000C-33D9-49B3-8DC5-BF1C129A23F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Summary!$A$150</c15:sqref>
                        </c15:formulaRef>
                      </c:ext>
                    </c:extLst>
                    <c:strCache>
                      <c:ptCount val="1"/>
                      <c:pt idx="0">
                        <c:v>Emissions Intensity
kg of CO2 per Liter Produced</c:v>
                      </c:pt>
                    </c:strCache>
                  </c:strRef>
                </c:tx>
                <c:spPr>
                  <a:solidFill>
                    <a:schemeClr val="accent2">
                      <a:lumMod val="60000"/>
                    </a:schemeClr>
                  </a:solidFill>
                  <a:ln>
                    <a:noFill/>
                  </a:ln>
                  <a:effectLst/>
                </c:spPr>
                <c:invertIfNegative val="0"/>
                <c:dPt>
                  <c:idx val="1"/>
                  <c:invertIfNegative val="0"/>
                  <c:bubble3D val="0"/>
                  <c:spPr>
                    <a:solidFill>
                      <a:srgbClr val="006699"/>
                    </a:solidFill>
                    <a:ln>
                      <a:noFill/>
                    </a:ln>
                    <a:effectLst/>
                  </c:spPr>
                  <c:extLst xmlns:c15="http://schemas.microsoft.com/office/drawing/2012/chart">
                    <c:ext xmlns:c16="http://schemas.microsoft.com/office/drawing/2014/chart" uri="{C3380CC4-5D6E-409C-BE32-E72D297353CC}">
                      <c16:uniqueId val="{0000000E-33D9-49B3-8DC5-BF1C129A23FA}"/>
                    </c:ext>
                  </c:extLst>
                </c:dPt>
                <c:dPt>
                  <c:idx val="2"/>
                  <c:invertIfNegative val="0"/>
                  <c:bubble3D val="0"/>
                  <c:spPr>
                    <a:solidFill>
                      <a:schemeClr val="accent6">
                        <a:lumMod val="75000"/>
                      </a:schemeClr>
                    </a:solidFill>
                    <a:ln>
                      <a:noFill/>
                    </a:ln>
                    <a:effectLst/>
                  </c:spPr>
                  <c:extLst>
                    <c:ext xmlns:c16="http://schemas.microsoft.com/office/drawing/2014/chart" uri="{C3380CC4-5D6E-409C-BE32-E72D297353CC}">
                      <c16:uniqueId val="{00000010-33D9-49B3-8DC5-BF1C129A23FA}"/>
                    </c:ext>
                  </c:extLst>
                </c:dPt>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Summary!$E$142:$I$142</c15:sqref>
                        </c15:fullRef>
                        <c15:formulaRef>
                          <c15:sqref>(Summary!$E$142,Summary!$G$142,Summary!$I$142)</c15:sqref>
                        </c15:formulaRef>
                      </c:ext>
                    </c:extLst>
                    <c:strCache>
                      <c:ptCount val="3"/>
                      <c:pt idx="0">
                        <c:v>Our Company (Most Recent Year)</c:v>
                      </c:pt>
                      <c:pt idx="1">
                        <c:v>IWCA Average 
(Small Wineries, Most Recent Year)</c:v>
                      </c:pt>
                      <c:pt idx="2">
                        <c:v>IWCA Average 
(Large Wineries, Most Recent Year)</c:v>
                      </c:pt>
                    </c:strCache>
                  </c:strRef>
                </c:cat>
                <c:val>
                  <c:numRef>
                    <c:extLst>
                      <c:ext xmlns:c15="http://schemas.microsoft.com/office/drawing/2012/chart" uri="{02D57815-91ED-43cb-92C2-25804820EDAC}">
                        <c15:fullRef>
                          <c15:sqref>Summary!$E$150:$I$150</c15:sqref>
                        </c15:fullRef>
                        <c15:formulaRef>
                          <c15:sqref>(Summary!$E$150,Summary!$G$150,Summary!$I$150)</c15:sqref>
                        </c15:formulaRef>
                      </c:ext>
                    </c:extLst>
                    <c:numCache>
                      <c:formatCode>#,##0.00</c:formatCode>
                      <c:ptCount val="3"/>
                      <c:pt idx="0">
                        <c:v>0</c:v>
                      </c:pt>
                      <c:pt idx="1">
                        <c:v>2.6492059348114498</c:v>
                      </c:pt>
                      <c:pt idx="2">
                        <c:v>1.6252178190381188</c:v>
                      </c:pt>
                    </c:numCache>
                  </c:numRef>
                </c:val>
                <c:extLst xmlns:c15="http://schemas.microsoft.com/office/drawing/2012/chart">
                  <c:ext xmlns:c16="http://schemas.microsoft.com/office/drawing/2014/chart" uri="{C3380CC4-5D6E-409C-BE32-E72D297353CC}">
                    <c16:uniqueId val="{00000011-33D9-49B3-8DC5-BF1C129A23FA}"/>
                  </c:ext>
                </c:extLst>
              </c15:ser>
            </c15:filteredBarSeries>
          </c:ext>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MT CO2E</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iwca ABSOLUTE Emissions - most recent year </a:t>
            </a:r>
            <a:r>
              <a:rPr lang="en-US" sz="1000" i="1"/>
              <a:t>(Market</a:t>
            </a:r>
            <a:r>
              <a:rPr lang="en-US" sz="1000" i="1" baseline="0"/>
              <a:t> based)</a:t>
            </a:r>
            <a:endParaRPr lang="en-US" sz="1000" i="1"/>
          </a:p>
        </c:rich>
      </c:tx>
      <c:layout>
        <c:manualLayout>
          <c:xMode val="edge"/>
          <c:yMode val="edge"/>
          <c:x val="7.0289435854493487E-2"/>
          <c:y val="2.4397326795788932E-2"/>
        </c:manualLayout>
      </c:layout>
      <c:overlay val="0"/>
      <c:spPr>
        <a:solidFill>
          <a:srgbClr val="FFFF00"/>
        </a:solid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419"/>
        </a:p>
      </c:txPr>
    </c:title>
    <c:autoTitleDeleted val="0"/>
    <c:plotArea>
      <c:layout>
        <c:manualLayout>
          <c:layoutTarget val="inner"/>
          <c:xMode val="edge"/>
          <c:yMode val="edge"/>
          <c:x val="4.8857622468351042E-2"/>
          <c:y val="0.21220111640355827"/>
          <c:w val="0.93461758511342863"/>
          <c:h val="0.54352899182080239"/>
        </c:manualLayout>
      </c:layout>
      <c:barChart>
        <c:barDir val="col"/>
        <c:grouping val="clustered"/>
        <c:varyColors val="0"/>
        <c:ser>
          <c:idx val="1"/>
          <c:order val="0"/>
          <c:tx>
            <c:strRef>
              <c:f>Summary!$A$155</c:f>
              <c:strCache>
                <c:ptCount val="1"/>
                <c:pt idx="0">
                  <c:v>Reporting Year</c:v>
                </c:pt>
              </c:strCache>
              <c:extLst xmlns:c15="http://schemas.microsoft.com/office/drawing/2012/chart"/>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Summary!$E$155:$I$155</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7-B4C1-4280-B465-D3E654DF96D7}"/>
            </c:ext>
          </c:extLst>
        </c:ser>
        <c:ser>
          <c:idx val="0"/>
          <c:order val="1"/>
          <c:tx>
            <c:strRef>
              <c:f>Summary!$A$156</c:f>
              <c:strCache>
                <c:ptCount val="1"/>
                <c:pt idx="0">
                  <c:v>Total Scope 1</c:v>
                </c:pt>
              </c:strCache>
              <c:extLst xmlns:c15="http://schemas.microsoft.com/office/drawing/2012/chart"/>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Summary!$E$156:$I$156</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8-B4C1-4280-B465-D3E654DF96D7}"/>
            </c:ext>
          </c:extLst>
        </c:ser>
        <c:ser>
          <c:idx val="2"/>
          <c:order val="2"/>
          <c:tx>
            <c:strRef>
              <c:f>Summary!$A$157</c:f>
              <c:strCache>
                <c:ptCount val="1"/>
                <c:pt idx="0">
                  <c:v>Total Scope 2</c:v>
                </c:pt>
              </c:strCache>
              <c:extLst xmlns:c15="http://schemas.microsoft.com/office/drawing/2012/chart"/>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Summary!$E$157:$I$157</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9-B4C1-4280-B465-D3E654DF96D7}"/>
            </c:ext>
          </c:extLst>
        </c:ser>
        <c:ser>
          <c:idx val="3"/>
          <c:order val="3"/>
          <c:tx>
            <c:strRef>
              <c:f>Summary!$A$158</c:f>
              <c:strCache>
                <c:ptCount val="1"/>
                <c:pt idx="0">
                  <c:v>Total Scope 3</c:v>
                </c:pt>
              </c:strCache>
              <c:extLst xmlns:c15="http://schemas.microsoft.com/office/drawing/2012/chart"/>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Summary!$E$158:$I$158</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A-B4C1-4280-B465-D3E654DF96D7}"/>
            </c:ext>
          </c:extLst>
        </c:ser>
        <c:ser>
          <c:idx val="4"/>
          <c:order val="4"/>
          <c:tx>
            <c:strRef>
              <c:f>Summary!$A$159</c:f>
              <c:strCache>
                <c:ptCount val="1"/>
                <c:pt idx="0">
                  <c:v>GHG Emissions Scopes 1-2-3 </c:v>
                </c:pt>
              </c:strCache>
            </c:strRef>
          </c:tx>
          <c:spPr>
            <a:solidFill>
              <a:schemeClr val="accent5"/>
            </a:solidFill>
            <a:ln>
              <a:noFill/>
            </a:ln>
            <a:effectLst/>
          </c:spPr>
          <c:invertIfNegative val="0"/>
          <c:dLbls>
            <c:numFmt formatCode="#,##0" sourceLinked="0"/>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Summary!$E$159:$I$159</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6-B4C1-4280-B465-D3E654DF96D7}"/>
            </c:ext>
          </c:extLst>
        </c:ser>
        <c:ser>
          <c:idx val="5"/>
          <c:order val="5"/>
          <c:tx>
            <c:strRef>
              <c:f>Summary!$A$160</c:f>
              <c:strCache>
                <c:ptCount val="1"/>
                <c:pt idx="0">
                  <c:v>Production Volume (liters)</c:v>
                </c:pt>
              </c:strCache>
              <c:extLst xmlns:c15="http://schemas.microsoft.com/office/drawing/2012/chart"/>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Summary!$E$160:$I$160</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B-B4C1-4280-B465-D3E654DF96D7}"/>
            </c:ext>
          </c:extLst>
        </c:ser>
        <c:ser>
          <c:idx val="6"/>
          <c:order val="6"/>
          <c:tx>
            <c:strRef>
              <c:f>Summary!$A$161</c:f>
              <c:strCache>
                <c:ptCount val="1"/>
                <c:pt idx="0">
                  <c:v>Production Volume (9L cases)</c:v>
                </c:pt>
              </c:strCache>
              <c:extLst xmlns:c15="http://schemas.microsoft.com/office/drawing/2012/chart"/>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Summary!$E$161:$I$161</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0C-B4C1-4280-B465-D3E654DF96D7}"/>
            </c:ext>
          </c:extLst>
        </c:ser>
        <c:ser>
          <c:idx val="7"/>
          <c:order val="7"/>
          <c:tx>
            <c:strRef>
              <c:f>Summary!$A$162</c:f>
              <c:strCache>
                <c:ptCount val="1"/>
                <c:pt idx="0">
                  <c:v>Emissions Intensity
kg of CO2 per Liter Produced</c:v>
                </c:pt>
              </c:strCache>
              <c:extLst xmlns:c15="http://schemas.microsoft.com/office/drawing/2012/chart"/>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0" i="0" u="none" strike="noStrike" kern="1200" baseline="0">
                    <a:solidFill>
                      <a:schemeClr val="tx1">
                        <a:lumMod val="50000"/>
                        <a:lumOff val="50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Summary!$E$162:$I$162</c:f>
            </c:numRef>
          </c:val>
          <c:extLst xmlns:c15="http://schemas.microsoft.com/office/drawing/2012/chart">
            <c:ext xmlns:c15="http://schemas.microsoft.com/office/drawing/2012/chart" uri="{02D57815-91ED-43cb-92C2-25804820EDAC}">
              <c15:filteredCategoryTitle>
                <c15:cat>
                  <c:multiLvlStrRef>
                    <c:extLst>
                      <c:ext uri="{02D57815-91ED-43cb-92C2-25804820EDAC}">
                        <c15:formulaRef>
                          <c15:sqref>Summary!$E$154:$I$154</c15:sqref>
                        </c15:formulaRef>
                      </c:ext>
                    </c:extLst>
                  </c:multiLvlStrRef>
                </c15:cat>
              </c15:filteredCategoryTitle>
            </c:ext>
            <c:ext xmlns:c16="http://schemas.microsoft.com/office/drawing/2014/chart" uri="{C3380CC4-5D6E-409C-BE32-E72D297353CC}">
              <c16:uniqueId val="{00000011-B4C1-4280-B465-D3E654DF96D7}"/>
            </c:ext>
          </c:extLst>
        </c:ser>
        <c:dLbls>
          <c:dLblPos val="outEnd"/>
          <c:showLegendKey val="0"/>
          <c:showVal val="1"/>
          <c:showCatName val="0"/>
          <c:showSerName val="0"/>
          <c:showPercent val="0"/>
          <c:showBubbleSize val="0"/>
        </c:dLbls>
        <c:gapWidth val="444"/>
        <c:axId val="945755392"/>
        <c:axId val="888377760"/>
        <c:extLst/>
      </c:barChart>
      <c:catAx>
        <c:axId val="9457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cap="all" spc="120" normalizeH="0" baseline="0">
                <a:solidFill>
                  <a:schemeClr val="tx1">
                    <a:lumMod val="65000"/>
                    <a:lumOff val="35000"/>
                  </a:schemeClr>
                </a:solidFill>
                <a:latin typeface="+mn-lt"/>
                <a:ea typeface="+mn-ea"/>
                <a:cs typeface="+mn-cs"/>
              </a:defRPr>
            </a:pPr>
            <a:endParaRPr lang="es-419"/>
          </a:p>
        </c:txPr>
        <c:crossAx val="888377760"/>
        <c:crosses val="autoZero"/>
        <c:auto val="1"/>
        <c:lblAlgn val="ctr"/>
        <c:lblOffset val="100"/>
        <c:noMultiLvlLbl val="0"/>
      </c:catAx>
      <c:valAx>
        <c:axId val="888377760"/>
        <c:scaling>
          <c:orientation val="minMax"/>
        </c:scaling>
        <c:delete val="1"/>
        <c:axPos val="l"/>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0" i="0" cap="all" baseline="0">
                    <a:effectLst/>
                  </a:rPr>
                  <a:t>MT CO2E</a:t>
                </a:r>
                <a:endParaRPr lang="en-US" sz="1200">
                  <a:effectLst/>
                </a:endParaRPr>
              </a:p>
            </c:rich>
          </c:tx>
          <c:layout>
            <c:manualLayout>
              <c:xMode val="edge"/>
              <c:yMode val="edge"/>
              <c:x val="1.6723745622938557E-2"/>
              <c:y val="0.38778814539654138"/>
            </c:manualLayout>
          </c:layout>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s-419"/>
            </a:p>
          </c:txPr>
        </c:title>
        <c:numFmt formatCode="#,##0" sourceLinked="1"/>
        <c:majorTickMark val="none"/>
        <c:minorTickMark val="none"/>
        <c:tickLblPos val="nextTo"/>
        <c:crossAx val="945755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title pos="t" align="ctr" overlay="0">
      <cx:tx>
        <cx:txData>
          <cx:v>Visual Emisisons Breakdown (Location-Based)</cx:v>
        </cx:txData>
      </cx:tx>
      <cx:txPr>
        <a:bodyPr spcFirstLastPara="1" vertOverflow="ellipsis" horzOverflow="overflow" wrap="square" lIns="0" tIns="0" rIns="0" bIns="0" anchor="ctr" anchorCtr="1"/>
        <a:lstStyle/>
        <a:p>
          <a:pPr algn="ctr" rtl="0">
            <a:defRPr sz="5000">
              <a:solidFill>
                <a:sysClr val="windowText" lastClr="000000"/>
              </a:solidFill>
              <a:latin typeface="Constantia" panose="02030602050306030303" pitchFamily="18" charset="0"/>
              <a:ea typeface="Constantia" panose="02030602050306030303" pitchFamily="18" charset="0"/>
              <a:cs typeface="Constantia" panose="02030602050306030303" pitchFamily="18" charset="0"/>
            </a:defRPr>
          </a:pPr>
          <a:r>
            <a:rPr lang="en-US" sz="5000" b="1" i="0" u="none" strike="noStrike" baseline="0">
              <a:solidFill>
                <a:sysClr val="windowText" lastClr="000000"/>
              </a:solidFill>
              <a:latin typeface="Constantia" panose="02030602050306030303" pitchFamily="18" charset="0"/>
            </a:rPr>
            <a:t>Visual Emisisons Breakdown (Location-Based)</a:t>
          </a:r>
        </a:p>
      </cx:txPr>
    </cx:title>
    <cx:plotArea>
      <cx:plotAreaRegion>
        <cx:series layoutId="sunburst" uniqueId="{945D9A90-D02C-41A5-BD0A-B9E6D599D778}">
          <cx:dataLabels>
            <cx:txPr>
              <a:bodyPr spcFirstLastPara="1" vertOverflow="ellipsis" horzOverflow="overflow" wrap="square" lIns="38100" tIns="19050" rIns="38100" bIns="19050" anchor="ctr" anchorCtr="1">
                <a:spAutoFit/>
              </a:bodyPr>
              <a:lstStyle/>
              <a:p>
                <a:pPr algn="ctr" rtl="0">
                  <a:defRPr sz="1200">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series>
      </cx:plotAreaRegion>
    </cx:plotArea>
  </cx:chart>
  <cx:spPr>
    <a:solidFill>
      <a:schemeClr val="bg1"/>
    </a:solidFill>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title pos="t" align="ctr" overlay="0">
      <cx:tx>
        <cx:txData>
          <cx:v>Visual Emissions Treemap (Location-Based)</cx:v>
        </cx:txData>
      </cx:tx>
      <cx:txPr>
        <a:bodyPr spcFirstLastPara="1" vertOverflow="ellipsis" horzOverflow="overflow" wrap="square" lIns="0" tIns="0" rIns="0" bIns="0" anchor="ctr" anchorCtr="1"/>
        <a:lstStyle/>
        <a:p>
          <a:pPr algn="ctr" rtl="0">
            <a:defRPr sz="5000" b="1"/>
          </a:pPr>
          <a:r>
            <a:rPr lang="en-US" sz="5000" b="1" i="0" u="none" strike="noStrike" baseline="0">
              <a:solidFill>
                <a:sysClr val="windowText" lastClr="000000"/>
              </a:solidFill>
              <a:latin typeface="Calibri" panose="020F0502020204030204"/>
            </a:rPr>
            <a:t>Visual Emissions Treemap (Location-Based)</a:t>
          </a:r>
        </a:p>
      </cx:txPr>
    </cx:title>
    <cx:plotArea>
      <cx:plotAreaRegion>
        <cx:series layoutId="treemap" uniqueId="{BAF25C36-9C04-435F-B587-5F11426CFF38}">
          <cx:tx>
            <cx:txData>
              <cx:f>_xlchart.v1.1</cx:f>
              <cx:v>%</cx:v>
            </cx:txData>
          </cx:tx>
          <cx:dataLabels>
            <cx:txPr>
              <a:bodyPr spcFirstLastPara="1" vertOverflow="ellipsis" horzOverflow="overflow" wrap="square" lIns="0" tIns="0" rIns="0" bIns="0" anchor="ctr" anchorCtr="1"/>
              <a:lstStyle/>
              <a:p>
                <a:pPr algn="ctr" rtl="0">
                  <a:defRPr sz="1200" b="1">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Visual Emisisons Breakdown (Market-Based)</cx:v>
        </cx:txData>
      </cx:tx>
      <cx:txPr>
        <a:bodyPr spcFirstLastPara="1" vertOverflow="ellipsis" horzOverflow="overflow" wrap="square" lIns="0" tIns="0" rIns="0" bIns="0" anchor="ctr" anchorCtr="1"/>
        <a:lstStyle/>
        <a:p>
          <a:pPr algn="ctr" rtl="0">
            <a:defRPr sz="5000">
              <a:solidFill>
                <a:sysClr val="windowText" lastClr="000000"/>
              </a:solidFill>
            </a:defRPr>
          </a:pPr>
          <a:r>
            <a:rPr lang="en-US" sz="5000" b="1" i="0" u="none" strike="noStrike" baseline="0">
              <a:solidFill>
                <a:sysClr val="windowText" lastClr="000000"/>
              </a:solidFill>
              <a:latin typeface="Calibri" panose="020F0502020204030204"/>
            </a:rPr>
            <a:t>Visual Emisisons Breakdown (Market-Based)</a:t>
          </a:r>
        </a:p>
      </cx:txPr>
    </cx:title>
    <cx:plotArea>
      <cx:plotAreaRegion>
        <cx:series layoutId="sunburst" uniqueId="{2A49DC96-817A-419F-962C-A24BB0C7E36F}">
          <cx:dataLabels>
            <cx:txPr>
              <a:bodyPr spcFirstLastPara="1" vertOverflow="ellipsis" horzOverflow="overflow" wrap="square" lIns="38100" tIns="19050" rIns="38100" bIns="19050" anchor="ctr" anchorCtr="1">
                <a:spAutoFit/>
              </a:bodyPr>
              <a:lstStyle/>
              <a:p>
                <a:pPr algn="ctr" rtl="0">
                  <a:defRPr sz="1200">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38100" tIns="19050" rIns="38100" bIns="19050" anchor="ctr" anchorCtr="1">
                  <a:spAutoFit/>
                </a:bodyPr>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series>
      </cx:plotAreaRegion>
    </cx:plotArea>
  </cx:chart>
  <cx:spPr>
    <a:solidFill>
      <a:schemeClr val="bg1"/>
    </a:solidFill>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size">
        <cx:f>_xlchart.v1.9</cx:f>
      </cx:numDim>
    </cx:data>
  </cx:chartData>
  <cx:chart>
    <cx:title pos="t" align="ctr" overlay="0">
      <cx:tx>
        <cx:txData>
          <cx:v>Visual Emissions Treemap (Market-Based)</cx:v>
        </cx:txData>
      </cx:tx>
      <cx:txPr>
        <a:bodyPr spcFirstLastPara="1" vertOverflow="ellipsis" horzOverflow="overflow" wrap="square" lIns="0" tIns="0" rIns="0" bIns="0" anchor="ctr" anchorCtr="1"/>
        <a:lstStyle/>
        <a:p>
          <a:pPr algn="ctr" rtl="0">
            <a:defRPr sz="5000" b="1"/>
          </a:pPr>
          <a:r>
            <a:rPr lang="en-US" sz="5000" b="1" i="0" u="none" strike="noStrike" baseline="0">
              <a:solidFill>
                <a:sysClr val="windowText" lastClr="000000"/>
              </a:solidFill>
              <a:latin typeface="Calibri" panose="020F0502020204030204"/>
            </a:rPr>
            <a:t>Visual Emissions Treemap (Market-Based)</a:t>
          </a:r>
        </a:p>
      </cx:txPr>
    </cx:title>
    <cx:plotArea>
      <cx:plotAreaRegion>
        <cx:series layoutId="treemap" uniqueId="{9C64BA40-D08B-4975-A7EF-F19B22353105}">
          <cx:tx>
            <cx:txData>
              <cx:f>_xlchart.v1.8</cx:f>
              <cx:v>Total CO2e
(tons)  - Market</cx:v>
            </cx:txData>
          </cx:tx>
          <cx:dataLabels>
            <cx:txPr>
              <a:bodyPr spcFirstLastPara="1" vertOverflow="ellipsis" horzOverflow="overflow" wrap="square" lIns="0" tIns="0" rIns="0" bIns="0" anchor="ctr" anchorCtr="1"/>
              <a:lstStyle/>
              <a:p>
                <a:pPr algn="ctr" rtl="0">
                  <a:defRPr sz="1200" b="1">
                    <a:solidFill>
                      <a:sysClr val="windowText" lastClr="000000"/>
                    </a:solidFill>
                  </a:defRPr>
                </a:pPr>
                <a:endParaRPr lang="en-US" sz="1200" b="1" i="0" u="none" strike="noStrike" baseline="0">
                  <a:solidFill>
                    <a:sysClr val="windowText" lastClr="000000"/>
                  </a:solidFill>
                  <a:latin typeface="Calibri" panose="020F0502020204030204"/>
                </a:endParaRPr>
              </a:p>
            </cx:txPr>
            <cx:dataLabel idx="0">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1</a:t>
                  </a:r>
                </a:p>
              </cx:txPr>
            </cx:dataLabel>
            <cx:dataLabel idx="25">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2</a:t>
                  </a:r>
                </a:p>
              </cx:txPr>
            </cx:dataLabel>
            <cx:dataLabel idx="28">
              <cx:txPr>
                <a:bodyPr spcFirstLastPara="1" vertOverflow="ellipsis" horzOverflow="overflow" wrap="square" lIns="0" tIns="0" rIns="0" bIns="0" anchor="ctr" anchorCtr="1"/>
                <a:lstStyle/>
                <a:p>
                  <a:pPr algn="ctr" rtl="0">
                    <a:defRPr sz="3000"/>
                  </a:pPr>
                  <a:r>
                    <a:rPr lang="en-US" sz="3000" b="1" i="0" u="none" strike="noStrike" baseline="0">
                      <a:solidFill>
                        <a:sysClr val="windowText" lastClr="000000"/>
                      </a:solidFill>
                      <a:latin typeface="Calibri" panose="020F0502020204030204"/>
                    </a:rPr>
                    <a:t>Scope 3</a:t>
                  </a:r>
                </a:p>
              </cx:txPr>
            </cx:dataLabel>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documenttasks/documenttask1.xml><?xml version="1.0" encoding="utf-8"?>
<Tasks xmlns="http://schemas.microsoft.com/office/tasks/2019/documenttasks">
  <Task id="{9499BA8A-5150-4E99-8570-C106A25031C3}">
    <Anchor>
      <Comment id="{3B28C5EA-9848-40A3-B9FD-49B410053D9A}"/>
    </Anchor>
    <History>
      <Event time="2024-03-26T15:22:55.11" id="{DA00F27F-5E88-4FA5-8199-CC7D8A215AA4}">
        <Attribution userId="S::p.lardon@terra-institute.eu::0e44e88c-9e3c-4c82-b03d-4def254484f0" userName="Paul Lardon" userProvider="AD"/>
        <Anchor>
          <Comment id="{3B28C5EA-9848-40A3-B9FD-49B410053D9A}"/>
        </Anchor>
        <Create/>
      </Event>
      <Event time="2024-03-26T15:22:55.11" id="{9FA55020-1831-408F-99DB-57301BD47ACF}">
        <Attribution userId="S::p.lardon@terra-institute.eu::0e44e88c-9e3c-4c82-b03d-4def254484f0" userName="Paul Lardon" userProvider="AD"/>
        <Anchor>
          <Comment id="{3B28C5EA-9848-40A3-B9FD-49B410053D9A}"/>
        </Anchor>
        <Assign userId="S::m.zaussinger@terra-institute.eu::5039e38f-241a-4ba7-8910-da3e753c8dc9" userName="Matthias Zaussinger" userProvider="AD"/>
      </Event>
      <Event time="2024-03-26T15:22:55.11" id="{399F83B9-7507-49DF-A0F6-6D260C6615E4}">
        <Attribution userId="S::p.lardon@terra-institute.eu::0e44e88c-9e3c-4c82-b03d-4def254484f0" userName="Paul Lardon" userProvider="AD"/>
        <Anchor>
          <Comment id="{3B28C5EA-9848-40A3-B9FD-49B410053D9A}"/>
        </Anchor>
        <SetTitle title="@Matthias Zaussinger mit welchen Werten wird hier das Ergebnis verglichen und wieso ist es um Faktor 20 höher? "/>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https://www.sustridge.com/" TargetMode="External"/><Relationship Id="rId7" Type="http://schemas.openxmlformats.org/officeDocument/2006/relationships/image" Target="../media/image5.png"/><Relationship Id="rId2" Type="http://schemas.openxmlformats.org/officeDocument/2006/relationships/image" Target="../media/image1.jpeg"/><Relationship Id="rId1" Type="http://schemas.openxmlformats.org/officeDocument/2006/relationships/hyperlink" Target="https://www.iwcawine.org/" TargetMode="Externa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image" Target="../media/image7.png"/><Relationship Id="rId4" Type="http://schemas.openxmlformats.org/officeDocument/2006/relationships/image" Target="../media/image2.png"/><Relationship Id="rId9" Type="http://schemas.openxmlformats.org/officeDocument/2006/relationships/hyperlink" Target="https://sensiba.com/solutions/sustainability/"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37.png"/><Relationship Id="rId18" Type="http://schemas.openxmlformats.org/officeDocument/2006/relationships/image" Target="../media/image26.emf"/><Relationship Id="rId26" Type="http://schemas.openxmlformats.org/officeDocument/2006/relationships/image" Target="../media/image30.png"/><Relationship Id="rId3" Type="http://schemas.openxmlformats.org/officeDocument/2006/relationships/image" Target="../media/image12.png"/><Relationship Id="rId21" Type="http://schemas.openxmlformats.org/officeDocument/2006/relationships/image" Target="../media/image38.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5.png"/><Relationship Id="rId25" Type="http://schemas.openxmlformats.org/officeDocument/2006/relationships/image" Target="../media/image29.png"/><Relationship Id="rId2" Type="http://schemas.openxmlformats.org/officeDocument/2006/relationships/image" Target="../media/image11.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41.png"/><Relationship Id="rId5" Type="http://schemas.openxmlformats.org/officeDocument/2006/relationships/image" Target="../media/image14.png"/><Relationship Id="rId15" Type="http://schemas.openxmlformats.org/officeDocument/2006/relationships/image" Target="../media/image23.png"/><Relationship Id="rId23" Type="http://schemas.openxmlformats.org/officeDocument/2006/relationships/image" Target="../media/image40.png"/><Relationship Id="rId10" Type="http://schemas.openxmlformats.org/officeDocument/2006/relationships/image" Target="../media/image19.png"/><Relationship Id="rId19" Type="http://schemas.openxmlformats.org/officeDocument/2006/relationships/image" Target="../media/image27.emf"/><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2.png"/><Relationship Id="rId22" Type="http://schemas.openxmlformats.org/officeDocument/2006/relationships/image" Target="../media/image39.png"/><Relationship Id="rId27"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9.png"/><Relationship Id="rId3" Type="http://schemas.openxmlformats.org/officeDocument/2006/relationships/chart" Target="../charts/chart3.xml"/><Relationship Id="rId7" Type="http://schemas.openxmlformats.org/officeDocument/2006/relationships/chart" Target="../charts/chart7.xml"/><Relationship Id="rId12" Type="http://schemas.microsoft.com/office/2014/relationships/chartEx" Target="../charts/chartEx4.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microsoft.com/office/2014/relationships/chartEx" Target="../charts/chartEx3.xml"/><Relationship Id="rId5" Type="http://schemas.openxmlformats.org/officeDocument/2006/relationships/chart" Target="../charts/chart5.xml"/><Relationship Id="rId10" Type="http://schemas.microsoft.com/office/2014/relationships/chartEx" Target="../charts/chartEx2.xml"/><Relationship Id="rId4" Type="http://schemas.openxmlformats.org/officeDocument/2006/relationships/chart" Target="../charts/chart4.xml"/><Relationship Id="rId9"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emf"/><Relationship Id="rId3" Type="http://schemas.openxmlformats.org/officeDocument/2006/relationships/image" Target="../media/image12.png"/><Relationship Id="rId21" Type="http://schemas.openxmlformats.org/officeDocument/2006/relationships/image" Target="../media/image30.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6.emf"/><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19" Type="http://schemas.openxmlformats.org/officeDocument/2006/relationships/image" Target="../media/image28.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36275</xdr:rowOff>
    </xdr:from>
    <xdr:to>
      <xdr:col>0</xdr:col>
      <xdr:colOff>1514475</xdr:colOff>
      <xdr:row>3</xdr:row>
      <xdr:rowOff>126526</xdr:rowOff>
    </xdr:to>
    <xdr:pic>
      <xdr:nvPicPr>
        <xdr:cNvPr id="2" name="Picture 1">
          <a:hlinkClick xmlns:r="http://schemas.openxmlformats.org/officeDocument/2006/relationships" r:id="rId1"/>
          <a:extLst>
            <a:ext uri="{FF2B5EF4-FFF2-40B4-BE49-F238E27FC236}">
              <a16:creationId xmlns:a16="http://schemas.microsoft.com/office/drawing/2014/main" id="{4AE5D9C0-4BB4-457B-A0FC-58C5B18BFE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6275"/>
          <a:ext cx="1466850" cy="661751"/>
        </a:xfrm>
        <a:prstGeom prst="rect">
          <a:avLst/>
        </a:prstGeom>
        <a:ln>
          <a:solidFill>
            <a:sysClr val="windowText" lastClr="000000"/>
          </a:solidFill>
        </a:ln>
      </xdr:spPr>
    </xdr:pic>
    <xdr:clientData/>
  </xdr:twoCellAnchor>
  <xdr:twoCellAnchor editAs="oneCell">
    <xdr:from>
      <xdr:col>0</xdr:col>
      <xdr:colOff>1628775</xdr:colOff>
      <xdr:row>0</xdr:row>
      <xdr:rowOff>38101</xdr:rowOff>
    </xdr:from>
    <xdr:to>
      <xdr:col>0</xdr:col>
      <xdr:colOff>2409825</xdr:colOff>
      <xdr:row>3</xdr:row>
      <xdr:rowOff>161111</xdr:rowOff>
    </xdr:to>
    <xdr:pic>
      <xdr:nvPicPr>
        <xdr:cNvPr id="3" name="Picture 2">
          <a:hlinkClick xmlns:r="http://schemas.openxmlformats.org/officeDocument/2006/relationships" r:id="rId3"/>
          <a:extLst>
            <a:ext uri="{FF2B5EF4-FFF2-40B4-BE49-F238E27FC236}">
              <a16:creationId xmlns:a16="http://schemas.microsoft.com/office/drawing/2014/main" id="{C0D9BFF9-9498-4A9D-A888-1D2E6034DD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8775" y="38101"/>
          <a:ext cx="781050" cy="694510"/>
        </a:xfrm>
        <a:prstGeom prst="rect">
          <a:avLst/>
        </a:prstGeom>
      </xdr:spPr>
    </xdr:pic>
    <xdr:clientData/>
  </xdr:twoCellAnchor>
  <xdr:twoCellAnchor editAs="oneCell">
    <xdr:from>
      <xdr:col>0</xdr:col>
      <xdr:colOff>3324225</xdr:colOff>
      <xdr:row>41</xdr:row>
      <xdr:rowOff>75285</xdr:rowOff>
    </xdr:from>
    <xdr:to>
      <xdr:col>0</xdr:col>
      <xdr:colOff>7285960</xdr:colOff>
      <xdr:row>45</xdr:row>
      <xdr:rowOff>162246</xdr:rowOff>
    </xdr:to>
    <xdr:pic>
      <xdr:nvPicPr>
        <xdr:cNvPr id="4" name="Picture 3">
          <a:extLst>
            <a:ext uri="{FF2B5EF4-FFF2-40B4-BE49-F238E27FC236}">
              <a16:creationId xmlns:a16="http://schemas.microsoft.com/office/drawing/2014/main" id="{4FC3674B-D477-4E36-80FC-53F1E1E5BC69}"/>
            </a:ext>
          </a:extLst>
        </xdr:cNvPr>
        <xdr:cNvPicPr>
          <a:picLocks noChangeAspect="1"/>
        </xdr:cNvPicPr>
      </xdr:nvPicPr>
      <xdr:blipFill rotWithShape="1">
        <a:blip xmlns:r="http://schemas.openxmlformats.org/officeDocument/2006/relationships" r:embed="rId5"/>
        <a:srcRect t="29922"/>
        <a:stretch/>
      </xdr:blipFill>
      <xdr:spPr>
        <a:xfrm>
          <a:off x="3324225" y="15962985"/>
          <a:ext cx="3961735" cy="944211"/>
        </a:xfrm>
        <a:prstGeom prst="rect">
          <a:avLst/>
        </a:prstGeom>
      </xdr:spPr>
    </xdr:pic>
    <xdr:clientData/>
  </xdr:twoCellAnchor>
  <xdr:twoCellAnchor editAs="oneCell">
    <xdr:from>
      <xdr:col>0</xdr:col>
      <xdr:colOff>110684</xdr:colOff>
      <xdr:row>41</xdr:row>
      <xdr:rowOff>85724</xdr:rowOff>
    </xdr:from>
    <xdr:to>
      <xdr:col>0</xdr:col>
      <xdr:colOff>3057481</xdr:colOff>
      <xdr:row>45</xdr:row>
      <xdr:rowOff>171448</xdr:rowOff>
    </xdr:to>
    <xdr:pic>
      <xdr:nvPicPr>
        <xdr:cNvPr id="5" name="Picture 4">
          <a:extLst>
            <a:ext uri="{FF2B5EF4-FFF2-40B4-BE49-F238E27FC236}">
              <a16:creationId xmlns:a16="http://schemas.microsoft.com/office/drawing/2014/main" id="{717B6193-CD7F-4715-8B26-ABCBF92DF5D1}"/>
            </a:ext>
          </a:extLst>
        </xdr:cNvPr>
        <xdr:cNvPicPr>
          <a:picLocks noChangeAspect="1"/>
        </xdr:cNvPicPr>
      </xdr:nvPicPr>
      <xdr:blipFill>
        <a:blip xmlns:r="http://schemas.openxmlformats.org/officeDocument/2006/relationships" r:embed="rId6"/>
        <a:stretch>
          <a:fillRect/>
        </a:stretch>
      </xdr:blipFill>
      <xdr:spPr>
        <a:xfrm>
          <a:off x="110684" y="15973424"/>
          <a:ext cx="2946797" cy="942974"/>
        </a:xfrm>
        <a:prstGeom prst="rect">
          <a:avLst/>
        </a:prstGeom>
      </xdr:spPr>
    </xdr:pic>
    <xdr:clientData/>
  </xdr:twoCellAnchor>
  <xdr:twoCellAnchor editAs="oneCell">
    <xdr:from>
      <xdr:col>2</xdr:col>
      <xdr:colOff>0</xdr:colOff>
      <xdr:row>34</xdr:row>
      <xdr:rowOff>0</xdr:rowOff>
    </xdr:from>
    <xdr:to>
      <xdr:col>2</xdr:col>
      <xdr:colOff>304800</xdr:colOff>
      <xdr:row>35</xdr:row>
      <xdr:rowOff>114300</xdr:rowOff>
    </xdr:to>
    <xdr:sp macro="" textlink="">
      <xdr:nvSpPr>
        <xdr:cNvPr id="6" name="AutoShape 1" descr="Brand Logo">
          <a:extLst>
            <a:ext uri="{FF2B5EF4-FFF2-40B4-BE49-F238E27FC236}">
              <a16:creationId xmlns:a16="http://schemas.microsoft.com/office/drawing/2014/main" id="{9F70D119-5025-4BC2-8E8D-5319B35276E8}"/>
            </a:ext>
          </a:extLst>
        </xdr:cNvPr>
        <xdr:cNvSpPr>
          <a:spLocks noChangeAspect="1" noChangeArrowheads="1"/>
        </xdr:cNvSpPr>
      </xdr:nvSpPr>
      <xdr:spPr bwMode="auto">
        <a:xfrm>
          <a:off x="8534400" y="1235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6371076</xdr:colOff>
      <xdr:row>31</xdr:row>
      <xdr:rowOff>339090</xdr:rowOff>
    </xdr:from>
    <xdr:to>
      <xdr:col>0</xdr:col>
      <xdr:colOff>7041290</xdr:colOff>
      <xdr:row>35</xdr:row>
      <xdr:rowOff>102524</xdr:rowOff>
    </xdr:to>
    <xdr:pic>
      <xdr:nvPicPr>
        <xdr:cNvPr id="7" name="Picture 6">
          <a:extLst>
            <a:ext uri="{FF2B5EF4-FFF2-40B4-BE49-F238E27FC236}">
              <a16:creationId xmlns:a16="http://schemas.microsoft.com/office/drawing/2014/main" id="{2EEB7EEF-D0D2-4FF1-B697-F3A4B02699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1076" y="11931015"/>
          <a:ext cx="670214" cy="715934"/>
        </a:xfrm>
        <a:prstGeom prst="rect">
          <a:avLst/>
        </a:prstGeom>
      </xdr:spPr>
    </xdr:pic>
    <xdr:clientData/>
  </xdr:twoCellAnchor>
  <xdr:twoCellAnchor editAs="oneCell">
    <xdr:from>
      <xdr:col>0</xdr:col>
      <xdr:colOff>6372225</xdr:colOff>
      <xdr:row>22</xdr:row>
      <xdr:rowOff>245825</xdr:rowOff>
    </xdr:from>
    <xdr:to>
      <xdr:col>0</xdr:col>
      <xdr:colOff>7839075</xdr:colOff>
      <xdr:row>25</xdr:row>
      <xdr:rowOff>142401</xdr:rowOff>
    </xdr:to>
    <xdr:pic>
      <xdr:nvPicPr>
        <xdr:cNvPr id="8" name="Picture 7">
          <a:hlinkClick xmlns:r="http://schemas.openxmlformats.org/officeDocument/2006/relationships" r:id="rId1"/>
          <a:extLst>
            <a:ext uri="{FF2B5EF4-FFF2-40B4-BE49-F238E27FC236}">
              <a16:creationId xmlns:a16="http://schemas.microsoft.com/office/drawing/2014/main" id="{EFC2DED2-E165-4BBD-9EFA-5756DEE1AC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72225" y="9065975"/>
          <a:ext cx="1466850" cy="658576"/>
        </a:xfrm>
        <a:prstGeom prst="rect">
          <a:avLst/>
        </a:prstGeom>
        <a:ln>
          <a:solidFill>
            <a:sysClr val="windowText" lastClr="000000"/>
          </a:solidFill>
        </a:ln>
      </xdr:spPr>
    </xdr:pic>
    <xdr:clientData/>
  </xdr:twoCellAnchor>
  <xdr:twoCellAnchor editAs="oneCell">
    <xdr:from>
      <xdr:col>0</xdr:col>
      <xdr:colOff>6848476</xdr:colOff>
      <xdr:row>11</xdr:row>
      <xdr:rowOff>323851</xdr:rowOff>
    </xdr:from>
    <xdr:to>
      <xdr:col>0</xdr:col>
      <xdr:colOff>7826376</xdr:colOff>
      <xdr:row>14</xdr:row>
      <xdr:rowOff>203174</xdr:rowOff>
    </xdr:to>
    <xdr:pic>
      <xdr:nvPicPr>
        <xdr:cNvPr id="9" name="Picture 8">
          <a:hlinkClick xmlns:r="http://schemas.openxmlformats.org/officeDocument/2006/relationships" r:id="rId3"/>
          <a:extLst>
            <a:ext uri="{FF2B5EF4-FFF2-40B4-BE49-F238E27FC236}">
              <a16:creationId xmlns:a16="http://schemas.microsoft.com/office/drawing/2014/main" id="{030B4E59-2C3C-4698-AA73-B615229CEF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48476" y="4886326"/>
          <a:ext cx="977900" cy="869923"/>
        </a:xfrm>
        <a:prstGeom prst="rect">
          <a:avLst/>
        </a:prstGeom>
      </xdr:spPr>
    </xdr:pic>
    <xdr:clientData/>
  </xdr:twoCellAnchor>
  <xdr:twoCellAnchor editAs="oneCell">
    <xdr:from>
      <xdr:col>0</xdr:col>
      <xdr:colOff>6769546</xdr:colOff>
      <xdr:row>10</xdr:row>
      <xdr:rowOff>371476</xdr:rowOff>
    </xdr:from>
    <xdr:to>
      <xdr:col>0</xdr:col>
      <xdr:colOff>7954162</xdr:colOff>
      <xdr:row>11</xdr:row>
      <xdr:rowOff>276226</xdr:rowOff>
    </xdr:to>
    <xdr:pic>
      <xdr:nvPicPr>
        <xdr:cNvPr id="10" name="Picture 9" descr="Accounting &amp; Business Advisory - Sensiba">
          <a:hlinkClick xmlns:r="http://schemas.openxmlformats.org/officeDocument/2006/relationships" r:id="rId9"/>
          <a:extLst>
            <a:ext uri="{FF2B5EF4-FFF2-40B4-BE49-F238E27FC236}">
              <a16:creationId xmlns:a16="http://schemas.microsoft.com/office/drawing/2014/main" id="{9E34AB05-7C8E-42F4-B644-D28E5C3B493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69546" y="4057651"/>
          <a:ext cx="1184616"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2352675</xdr:colOff>
      <xdr:row>0</xdr:row>
      <xdr:rowOff>38100</xdr:rowOff>
    </xdr:from>
    <xdr:to>
      <xdr:col>0</xdr:col>
      <xdr:colOff>3537291</xdr:colOff>
      <xdr:row>4</xdr:row>
      <xdr:rowOff>57150</xdr:rowOff>
    </xdr:to>
    <xdr:pic>
      <xdr:nvPicPr>
        <xdr:cNvPr id="11" name="Picture 10" descr="Accounting &amp; Business Advisory - Sensiba">
          <a:hlinkClick xmlns:r="http://schemas.openxmlformats.org/officeDocument/2006/relationships" r:id="rId9"/>
          <a:extLst>
            <a:ext uri="{FF2B5EF4-FFF2-40B4-BE49-F238E27FC236}">
              <a16:creationId xmlns:a16="http://schemas.microsoft.com/office/drawing/2014/main" id="{F26C01D5-E5BB-4157-94AE-BD9783BF37D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52675" y="38100"/>
          <a:ext cx="1184616"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21168</xdr:colOff>
      <xdr:row>547</xdr:row>
      <xdr:rowOff>137583</xdr:rowOff>
    </xdr:from>
    <xdr:to>
      <xdr:col>1</xdr:col>
      <xdr:colOff>1715045</xdr:colOff>
      <xdr:row>574</xdr:row>
      <xdr:rowOff>1896</xdr:rowOff>
    </xdr:to>
    <xdr:pic>
      <xdr:nvPicPr>
        <xdr:cNvPr id="2" name="Picture 6">
          <a:extLst>
            <a:ext uri="{FF2B5EF4-FFF2-40B4-BE49-F238E27FC236}">
              <a16:creationId xmlns:a16="http://schemas.microsoft.com/office/drawing/2014/main" id="{AFB80AEB-EA73-483A-8425-7E6799DE9315}"/>
            </a:ext>
          </a:extLst>
        </xdr:cNvPr>
        <xdr:cNvPicPr>
          <a:picLocks noChangeAspect="1"/>
        </xdr:cNvPicPr>
      </xdr:nvPicPr>
      <xdr:blipFill>
        <a:blip xmlns:r="http://schemas.openxmlformats.org/officeDocument/2006/relationships" r:embed="rId1"/>
        <a:stretch>
          <a:fillRect/>
        </a:stretch>
      </xdr:blipFill>
      <xdr:spPr>
        <a:xfrm>
          <a:off x="21168" y="121625783"/>
          <a:ext cx="4030677" cy="5007812"/>
        </a:xfrm>
        <a:prstGeom prst="rect">
          <a:avLst/>
        </a:prstGeom>
        <a:ln>
          <a:solidFill>
            <a:sysClr val="windowText" lastClr="000000"/>
          </a:solidFill>
        </a:ln>
      </xdr:spPr>
    </xdr:pic>
    <xdr:clientData/>
  </xdr:twoCellAnchor>
  <xdr:twoCellAnchor editAs="oneCell">
    <xdr:from>
      <xdr:col>5</xdr:col>
      <xdr:colOff>65085</xdr:colOff>
      <xdr:row>548</xdr:row>
      <xdr:rowOff>31485</xdr:rowOff>
    </xdr:from>
    <xdr:to>
      <xdr:col>8</xdr:col>
      <xdr:colOff>20323</xdr:colOff>
      <xdr:row>560</xdr:row>
      <xdr:rowOff>151819</xdr:rowOff>
    </xdr:to>
    <xdr:pic>
      <xdr:nvPicPr>
        <xdr:cNvPr id="3" name="Picture 7">
          <a:extLst>
            <a:ext uri="{FF2B5EF4-FFF2-40B4-BE49-F238E27FC236}">
              <a16:creationId xmlns:a16="http://schemas.microsoft.com/office/drawing/2014/main" id="{963601B2-52F1-4438-BF60-656A4027B907}"/>
            </a:ext>
          </a:extLst>
        </xdr:cNvPr>
        <xdr:cNvPicPr>
          <a:picLocks noChangeAspect="1"/>
        </xdr:cNvPicPr>
      </xdr:nvPicPr>
      <xdr:blipFill>
        <a:blip xmlns:r="http://schemas.openxmlformats.org/officeDocument/2006/relationships" r:embed="rId2"/>
        <a:stretch>
          <a:fillRect/>
        </a:stretch>
      </xdr:blipFill>
      <xdr:spPr>
        <a:xfrm>
          <a:off x="11110910" y="121713360"/>
          <a:ext cx="4212913" cy="2403160"/>
        </a:xfrm>
        <a:prstGeom prst="rect">
          <a:avLst/>
        </a:prstGeom>
      </xdr:spPr>
    </xdr:pic>
    <xdr:clientData/>
  </xdr:twoCellAnchor>
  <xdr:twoCellAnchor editAs="oneCell">
    <xdr:from>
      <xdr:col>2</xdr:col>
      <xdr:colOff>243416</xdr:colOff>
      <xdr:row>548</xdr:row>
      <xdr:rowOff>21167</xdr:rowOff>
    </xdr:from>
    <xdr:to>
      <xdr:col>4</xdr:col>
      <xdr:colOff>728156</xdr:colOff>
      <xdr:row>562</xdr:row>
      <xdr:rowOff>53551</xdr:rowOff>
    </xdr:to>
    <xdr:pic>
      <xdr:nvPicPr>
        <xdr:cNvPr id="4" name="Picture 8">
          <a:extLst>
            <a:ext uri="{FF2B5EF4-FFF2-40B4-BE49-F238E27FC236}">
              <a16:creationId xmlns:a16="http://schemas.microsoft.com/office/drawing/2014/main" id="{CAF3635A-3E26-4421-8182-018C999553D4}"/>
            </a:ext>
          </a:extLst>
        </xdr:cNvPr>
        <xdr:cNvPicPr>
          <a:picLocks noChangeAspect="1"/>
        </xdr:cNvPicPr>
      </xdr:nvPicPr>
      <xdr:blipFill>
        <a:blip xmlns:r="http://schemas.openxmlformats.org/officeDocument/2006/relationships" r:embed="rId3"/>
        <a:stretch>
          <a:fillRect/>
        </a:stretch>
      </xdr:blipFill>
      <xdr:spPr>
        <a:xfrm>
          <a:off x="5812366" y="121699867"/>
          <a:ext cx="4174090" cy="2699384"/>
        </a:xfrm>
        <a:prstGeom prst="rect">
          <a:avLst/>
        </a:prstGeom>
      </xdr:spPr>
    </xdr:pic>
    <xdr:clientData/>
  </xdr:twoCellAnchor>
  <xdr:twoCellAnchor editAs="oneCell">
    <xdr:from>
      <xdr:col>0</xdr:col>
      <xdr:colOff>0</xdr:colOff>
      <xdr:row>576</xdr:row>
      <xdr:rowOff>0</xdr:rowOff>
    </xdr:from>
    <xdr:to>
      <xdr:col>3</xdr:col>
      <xdr:colOff>510234</xdr:colOff>
      <xdr:row>584</xdr:row>
      <xdr:rowOff>111600</xdr:rowOff>
    </xdr:to>
    <xdr:pic>
      <xdr:nvPicPr>
        <xdr:cNvPr id="5" name="Picture 9">
          <a:extLst>
            <a:ext uri="{FF2B5EF4-FFF2-40B4-BE49-F238E27FC236}">
              <a16:creationId xmlns:a16="http://schemas.microsoft.com/office/drawing/2014/main" id="{BB028EE5-E4BC-4EAF-83A4-DDF8542B5459}"/>
            </a:ext>
          </a:extLst>
        </xdr:cNvPr>
        <xdr:cNvPicPr>
          <a:picLocks noChangeAspect="1"/>
        </xdr:cNvPicPr>
      </xdr:nvPicPr>
      <xdr:blipFill>
        <a:blip xmlns:r="http://schemas.openxmlformats.org/officeDocument/2006/relationships" r:embed="rId4"/>
        <a:stretch>
          <a:fillRect/>
        </a:stretch>
      </xdr:blipFill>
      <xdr:spPr>
        <a:xfrm>
          <a:off x="0" y="127025400"/>
          <a:ext cx="8263584" cy="1635600"/>
        </a:xfrm>
        <a:prstGeom prst="rect">
          <a:avLst/>
        </a:prstGeom>
      </xdr:spPr>
    </xdr:pic>
    <xdr:clientData/>
  </xdr:twoCellAnchor>
  <xdr:oneCellAnchor>
    <xdr:from>
      <xdr:col>2</xdr:col>
      <xdr:colOff>1760803</xdr:colOff>
      <xdr:row>1027</xdr:row>
      <xdr:rowOff>124355</xdr:rowOff>
    </xdr:from>
    <xdr:ext cx="3730938" cy="2997728"/>
    <xdr:pic>
      <xdr:nvPicPr>
        <xdr:cNvPr id="6" name="Picture 19">
          <a:extLst>
            <a:ext uri="{FF2B5EF4-FFF2-40B4-BE49-F238E27FC236}">
              <a16:creationId xmlns:a16="http://schemas.microsoft.com/office/drawing/2014/main" id="{11114A4B-234C-4177-91B7-8FBFE4FEB2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32928" y="228092530"/>
          <a:ext cx="3730938" cy="2997728"/>
        </a:xfrm>
        <a:prstGeom prst="rect">
          <a:avLst/>
        </a:prstGeom>
        <a:ln>
          <a:solidFill>
            <a:sysClr val="windowText" lastClr="000000"/>
          </a:solidFill>
        </a:ln>
      </xdr:spPr>
    </xdr:pic>
    <xdr:clientData/>
  </xdr:oneCellAnchor>
  <xdr:oneCellAnchor>
    <xdr:from>
      <xdr:col>0</xdr:col>
      <xdr:colOff>211666</xdr:colOff>
      <xdr:row>1032</xdr:row>
      <xdr:rowOff>19843</xdr:rowOff>
    </xdr:from>
    <xdr:ext cx="4512468" cy="1683285"/>
    <xdr:pic>
      <xdr:nvPicPr>
        <xdr:cNvPr id="7" name="Picture 20">
          <a:extLst>
            <a:ext uri="{FF2B5EF4-FFF2-40B4-BE49-F238E27FC236}">
              <a16:creationId xmlns:a16="http://schemas.microsoft.com/office/drawing/2014/main" id="{DDB17A18-DEF2-452F-BAF5-E54CFBA246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1666" y="228937343"/>
          <a:ext cx="4512468" cy="1683285"/>
        </a:xfrm>
        <a:prstGeom prst="rect">
          <a:avLst/>
        </a:prstGeom>
        <a:ln>
          <a:solidFill>
            <a:sysClr val="windowText" lastClr="000000"/>
          </a:solidFill>
        </a:ln>
      </xdr:spPr>
    </xdr:pic>
    <xdr:clientData/>
  </xdr:oneCellAnchor>
  <xdr:twoCellAnchor editAs="oneCell">
    <xdr:from>
      <xdr:col>0</xdr:col>
      <xdr:colOff>0</xdr:colOff>
      <xdr:row>889</xdr:row>
      <xdr:rowOff>0</xdr:rowOff>
    </xdr:from>
    <xdr:to>
      <xdr:col>1</xdr:col>
      <xdr:colOff>2930439</xdr:colOff>
      <xdr:row>921</xdr:row>
      <xdr:rowOff>73886</xdr:rowOff>
    </xdr:to>
    <xdr:pic>
      <xdr:nvPicPr>
        <xdr:cNvPr id="8" name="Picture 16">
          <a:extLst>
            <a:ext uri="{FF2B5EF4-FFF2-40B4-BE49-F238E27FC236}">
              <a16:creationId xmlns:a16="http://schemas.microsoft.com/office/drawing/2014/main" id="{8A880EE3-9732-4A0E-9973-F7B0BE8EC11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96888100"/>
          <a:ext cx="5264064" cy="6169886"/>
        </a:xfrm>
        <a:prstGeom prst="rect">
          <a:avLst/>
        </a:prstGeom>
      </xdr:spPr>
    </xdr:pic>
    <xdr:clientData/>
  </xdr:twoCellAnchor>
  <xdr:twoCellAnchor editAs="oneCell">
    <xdr:from>
      <xdr:col>0</xdr:col>
      <xdr:colOff>0</xdr:colOff>
      <xdr:row>921</xdr:row>
      <xdr:rowOff>95251</xdr:rowOff>
    </xdr:from>
    <xdr:to>
      <xdr:col>1</xdr:col>
      <xdr:colOff>2853913</xdr:colOff>
      <xdr:row>945</xdr:row>
      <xdr:rowOff>58420</xdr:rowOff>
    </xdr:to>
    <xdr:pic>
      <xdr:nvPicPr>
        <xdr:cNvPr id="9" name="Picture 17">
          <a:extLst>
            <a:ext uri="{FF2B5EF4-FFF2-40B4-BE49-F238E27FC236}">
              <a16:creationId xmlns:a16="http://schemas.microsoft.com/office/drawing/2014/main" id="{8AB19F98-15AC-4870-B1E1-193604C150B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03079351"/>
          <a:ext cx="5187538" cy="4535169"/>
        </a:xfrm>
        <a:prstGeom prst="rect">
          <a:avLst/>
        </a:prstGeom>
      </xdr:spPr>
    </xdr:pic>
    <xdr:clientData/>
  </xdr:twoCellAnchor>
  <xdr:twoCellAnchor editAs="oneCell">
    <xdr:from>
      <xdr:col>0</xdr:col>
      <xdr:colOff>8659</xdr:colOff>
      <xdr:row>513</xdr:row>
      <xdr:rowOff>43295</xdr:rowOff>
    </xdr:from>
    <xdr:to>
      <xdr:col>3</xdr:col>
      <xdr:colOff>404789</xdr:colOff>
      <xdr:row>536</xdr:row>
      <xdr:rowOff>168570</xdr:rowOff>
    </xdr:to>
    <xdr:pic>
      <xdr:nvPicPr>
        <xdr:cNvPr id="10" name="Picture 21">
          <a:extLst>
            <a:ext uri="{FF2B5EF4-FFF2-40B4-BE49-F238E27FC236}">
              <a16:creationId xmlns:a16="http://schemas.microsoft.com/office/drawing/2014/main" id="{DE70E6CD-57BC-41D5-802B-F8CBEA026E3B}"/>
            </a:ext>
          </a:extLst>
        </xdr:cNvPr>
        <xdr:cNvPicPr>
          <a:picLocks noChangeAspect="1"/>
        </xdr:cNvPicPr>
      </xdr:nvPicPr>
      <xdr:blipFill>
        <a:blip xmlns:r="http://schemas.openxmlformats.org/officeDocument/2006/relationships" r:embed="rId9"/>
        <a:stretch>
          <a:fillRect/>
        </a:stretch>
      </xdr:blipFill>
      <xdr:spPr>
        <a:xfrm>
          <a:off x="11834" y="114949720"/>
          <a:ext cx="8146305" cy="4503600"/>
        </a:xfrm>
        <a:prstGeom prst="rect">
          <a:avLst/>
        </a:prstGeom>
      </xdr:spPr>
    </xdr:pic>
    <xdr:clientData/>
  </xdr:twoCellAnchor>
  <xdr:twoCellAnchor editAs="oneCell">
    <xdr:from>
      <xdr:col>4</xdr:col>
      <xdr:colOff>1750146</xdr:colOff>
      <xdr:row>513</xdr:row>
      <xdr:rowOff>42212</xdr:rowOff>
    </xdr:from>
    <xdr:to>
      <xdr:col>10</xdr:col>
      <xdr:colOff>298659</xdr:colOff>
      <xdr:row>535</xdr:row>
      <xdr:rowOff>17303</xdr:rowOff>
    </xdr:to>
    <xdr:pic>
      <xdr:nvPicPr>
        <xdr:cNvPr id="11" name="Picture 22">
          <a:extLst>
            <a:ext uri="{FF2B5EF4-FFF2-40B4-BE49-F238E27FC236}">
              <a16:creationId xmlns:a16="http://schemas.microsoft.com/office/drawing/2014/main" id="{FBA5EF11-248D-405E-B700-44A4652B6B72}"/>
            </a:ext>
          </a:extLst>
        </xdr:cNvPr>
        <xdr:cNvPicPr>
          <a:picLocks noChangeAspect="1"/>
        </xdr:cNvPicPr>
      </xdr:nvPicPr>
      <xdr:blipFill>
        <a:blip xmlns:r="http://schemas.openxmlformats.org/officeDocument/2006/relationships" r:embed="rId10"/>
        <a:stretch>
          <a:fillRect/>
        </a:stretch>
      </xdr:blipFill>
      <xdr:spPr>
        <a:xfrm>
          <a:off x="11008446" y="114945462"/>
          <a:ext cx="8195471" cy="4166091"/>
        </a:xfrm>
        <a:prstGeom prst="rect">
          <a:avLst/>
        </a:prstGeom>
      </xdr:spPr>
    </xdr:pic>
    <xdr:clientData/>
  </xdr:twoCellAnchor>
  <xdr:twoCellAnchor editAs="oneCell">
    <xdr:from>
      <xdr:col>0</xdr:col>
      <xdr:colOff>57149</xdr:colOff>
      <xdr:row>963</xdr:row>
      <xdr:rowOff>28575</xdr:rowOff>
    </xdr:from>
    <xdr:to>
      <xdr:col>2</xdr:col>
      <xdr:colOff>778134</xdr:colOff>
      <xdr:row>977</xdr:row>
      <xdr:rowOff>53340</xdr:rowOff>
    </xdr:to>
    <xdr:pic>
      <xdr:nvPicPr>
        <xdr:cNvPr id="12" name="Picture 23">
          <a:extLst>
            <a:ext uri="{FF2B5EF4-FFF2-40B4-BE49-F238E27FC236}">
              <a16:creationId xmlns:a16="http://schemas.microsoft.com/office/drawing/2014/main" id="{F9DBBF81-90F6-47F2-9AFF-56CC9CF26DB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49" y="211124800"/>
          <a:ext cx="6283585" cy="2688590"/>
        </a:xfrm>
        <a:prstGeom prst="rect">
          <a:avLst/>
        </a:prstGeom>
      </xdr:spPr>
    </xdr:pic>
    <xdr:clientData/>
  </xdr:twoCellAnchor>
  <xdr:twoCellAnchor editAs="oneCell">
    <xdr:from>
      <xdr:col>2</xdr:col>
      <xdr:colOff>1600200</xdr:colOff>
      <xdr:row>963</xdr:row>
      <xdr:rowOff>31069</xdr:rowOff>
    </xdr:from>
    <xdr:to>
      <xdr:col>6</xdr:col>
      <xdr:colOff>950344</xdr:colOff>
      <xdr:row>979</xdr:row>
      <xdr:rowOff>2253</xdr:rowOff>
    </xdr:to>
    <xdr:pic>
      <xdr:nvPicPr>
        <xdr:cNvPr id="13" name="Picture 24">
          <a:extLst>
            <a:ext uri="{FF2B5EF4-FFF2-40B4-BE49-F238E27FC236}">
              <a16:creationId xmlns:a16="http://schemas.microsoft.com/office/drawing/2014/main" id="{3FC8C033-DEE3-4D20-B089-FC964A6F1D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169150" y="211127294"/>
          <a:ext cx="6366894" cy="3016012"/>
        </a:xfrm>
        <a:prstGeom prst="rect">
          <a:avLst/>
        </a:prstGeom>
      </xdr:spPr>
    </xdr:pic>
    <xdr:clientData/>
  </xdr:twoCellAnchor>
  <xdr:twoCellAnchor editAs="oneCell">
    <xdr:from>
      <xdr:col>4</xdr:col>
      <xdr:colOff>1500981</xdr:colOff>
      <xdr:row>2</xdr:row>
      <xdr:rowOff>154781</xdr:rowOff>
    </xdr:from>
    <xdr:to>
      <xdr:col>8</xdr:col>
      <xdr:colOff>793258</xdr:colOff>
      <xdr:row>7</xdr:row>
      <xdr:rowOff>167368</xdr:rowOff>
    </xdr:to>
    <xdr:pic>
      <xdr:nvPicPr>
        <xdr:cNvPr id="14" name="Picture 5">
          <a:extLst>
            <a:ext uri="{FF2B5EF4-FFF2-40B4-BE49-F238E27FC236}">
              <a16:creationId xmlns:a16="http://schemas.microsoft.com/office/drawing/2014/main" id="{D54B5D54-24AC-4EDE-81FA-7A506C667EDE}"/>
            </a:ext>
          </a:extLst>
        </xdr:cNvPr>
        <xdr:cNvPicPr>
          <a:picLocks noChangeAspect="1"/>
        </xdr:cNvPicPr>
      </xdr:nvPicPr>
      <xdr:blipFill>
        <a:blip xmlns:r="http://schemas.openxmlformats.org/officeDocument/2006/relationships" r:embed="rId13"/>
        <a:stretch>
          <a:fillRect/>
        </a:stretch>
      </xdr:blipFill>
      <xdr:spPr>
        <a:xfrm>
          <a:off x="10759281" y="694531"/>
          <a:ext cx="5341960" cy="1130187"/>
        </a:xfrm>
        <a:prstGeom prst="rect">
          <a:avLst/>
        </a:prstGeom>
      </xdr:spPr>
    </xdr:pic>
    <xdr:clientData/>
  </xdr:twoCellAnchor>
  <xdr:twoCellAnchor editAs="oneCell">
    <xdr:from>
      <xdr:col>12</xdr:col>
      <xdr:colOff>211668</xdr:colOff>
      <xdr:row>885</xdr:row>
      <xdr:rowOff>0</xdr:rowOff>
    </xdr:from>
    <xdr:to>
      <xdr:col>14</xdr:col>
      <xdr:colOff>378198</xdr:colOff>
      <xdr:row>897</xdr:row>
      <xdr:rowOff>150112</xdr:rowOff>
    </xdr:to>
    <xdr:pic>
      <xdr:nvPicPr>
        <xdr:cNvPr id="15" name="Picture 2">
          <a:extLst>
            <a:ext uri="{FF2B5EF4-FFF2-40B4-BE49-F238E27FC236}">
              <a16:creationId xmlns:a16="http://schemas.microsoft.com/office/drawing/2014/main" id="{DAAB49FA-B425-42EF-BCCB-DBDA605DE4F6}"/>
            </a:ext>
          </a:extLst>
        </xdr:cNvPr>
        <xdr:cNvPicPr>
          <a:picLocks noChangeAspect="1"/>
        </xdr:cNvPicPr>
      </xdr:nvPicPr>
      <xdr:blipFill>
        <a:blip xmlns:r="http://schemas.openxmlformats.org/officeDocument/2006/relationships" r:embed="rId14"/>
        <a:stretch>
          <a:fillRect/>
        </a:stretch>
      </xdr:blipFill>
      <xdr:spPr>
        <a:xfrm>
          <a:off x="19090218" y="196005450"/>
          <a:ext cx="3303617" cy="2556762"/>
        </a:xfrm>
        <a:prstGeom prst="rect">
          <a:avLst/>
        </a:prstGeom>
      </xdr:spPr>
    </xdr:pic>
    <xdr:clientData/>
  </xdr:twoCellAnchor>
  <xdr:twoCellAnchor editAs="oneCell">
    <xdr:from>
      <xdr:col>3</xdr:col>
      <xdr:colOff>721177</xdr:colOff>
      <xdr:row>562</xdr:row>
      <xdr:rowOff>112031</xdr:rowOff>
    </xdr:from>
    <xdr:to>
      <xdr:col>7</xdr:col>
      <xdr:colOff>61533</xdr:colOff>
      <xdr:row>567</xdr:row>
      <xdr:rowOff>186417</xdr:rowOff>
    </xdr:to>
    <xdr:pic>
      <xdr:nvPicPr>
        <xdr:cNvPr id="16" name="Picture 15">
          <a:extLst>
            <a:ext uri="{FF2B5EF4-FFF2-40B4-BE49-F238E27FC236}">
              <a16:creationId xmlns:a16="http://schemas.microsoft.com/office/drawing/2014/main" id="{569E3AB7-F364-46AF-8032-D141895DBFA5}"/>
            </a:ext>
          </a:extLst>
        </xdr:cNvPr>
        <xdr:cNvPicPr>
          <a:picLocks noChangeAspect="1"/>
        </xdr:cNvPicPr>
      </xdr:nvPicPr>
      <xdr:blipFill>
        <a:blip xmlns:r="http://schemas.openxmlformats.org/officeDocument/2006/relationships" r:embed="rId15"/>
        <a:stretch>
          <a:fillRect/>
        </a:stretch>
      </xdr:blipFill>
      <xdr:spPr>
        <a:xfrm>
          <a:off x="8474527" y="124457731"/>
          <a:ext cx="5201406" cy="1026886"/>
        </a:xfrm>
        <a:prstGeom prst="rect">
          <a:avLst/>
        </a:prstGeom>
      </xdr:spPr>
    </xdr:pic>
    <xdr:clientData/>
  </xdr:twoCellAnchor>
  <xdr:twoCellAnchor>
    <xdr:from>
      <xdr:col>0</xdr:col>
      <xdr:colOff>50800</xdr:colOff>
      <xdr:row>120</xdr:row>
      <xdr:rowOff>50801</xdr:rowOff>
    </xdr:from>
    <xdr:to>
      <xdr:col>2</xdr:col>
      <xdr:colOff>463176</xdr:colOff>
      <xdr:row>139</xdr:row>
      <xdr:rowOff>112135</xdr:rowOff>
    </xdr:to>
    <xdr:grpSp>
      <xdr:nvGrpSpPr>
        <xdr:cNvPr id="17" name="Group 25">
          <a:extLst>
            <a:ext uri="{FF2B5EF4-FFF2-40B4-BE49-F238E27FC236}">
              <a16:creationId xmlns:a16="http://schemas.microsoft.com/office/drawing/2014/main" id="{165ECCCC-0D66-46FA-A084-1CB281478945}"/>
            </a:ext>
          </a:extLst>
        </xdr:cNvPr>
        <xdr:cNvGrpSpPr/>
      </xdr:nvGrpSpPr>
      <xdr:grpSpPr>
        <a:xfrm>
          <a:off x="50800" y="28513742"/>
          <a:ext cx="5970494" cy="4924687"/>
          <a:chOff x="0" y="25222201"/>
          <a:chExt cx="4183239" cy="3684009"/>
        </a:xfrm>
      </xdr:grpSpPr>
      <xdr:pic>
        <xdr:nvPicPr>
          <xdr:cNvPr id="18" name="Picture 26">
            <a:extLst>
              <a:ext uri="{FF2B5EF4-FFF2-40B4-BE49-F238E27FC236}">
                <a16:creationId xmlns:a16="http://schemas.microsoft.com/office/drawing/2014/main" id="{5DCCDB18-4462-D341-A011-D771CDC6CBEC}"/>
              </a:ext>
            </a:extLst>
          </xdr:cNvPr>
          <xdr:cNvPicPr>
            <a:picLocks noChangeAspect="1"/>
          </xdr:cNvPicPr>
        </xdr:nvPicPr>
        <xdr:blipFill>
          <a:blip xmlns:r="http://schemas.openxmlformats.org/officeDocument/2006/relationships" r:embed="rId16"/>
          <a:stretch>
            <a:fillRect/>
          </a:stretch>
        </xdr:blipFill>
        <xdr:spPr>
          <a:xfrm>
            <a:off x="0" y="25222201"/>
            <a:ext cx="4172795" cy="1220256"/>
          </a:xfrm>
          <a:prstGeom prst="rect">
            <a:avLst/>
          </a:prstGeom>
        </xdr:spPr>
      </xdr:pic>
      <xdr:pic>
        <xdr:nvPicPr>
          <xdr:cNvPr id="19" name="Picture 27">
            <a:extLst>
              <a:ext uri="{FF2B5EF4-FFF2-40B4-BE49-F238E27FC236}">
                <a16:creationId xmlns:a16="http://schemas.microsoft.com/office/drawing/2014/main" id="{6C2800BA-E969-48EF-1FB5-0B55FD914BDB}"/>
              </a:ext>
            </a:extLst>
          </xdr:cNvPr>
          <xdr:cNvPicPr>
            <a:picLocks noChangeAspect="1"/>
          </xdr:cNvPicPr>
        </xdr:nvPicPr>
        <xdr:blipFill>
          <a:blip xmlns:r="http://schemas.openxmlformats.org/officeDocument/2006/relationships" r:embed="rId17"/>
          <a:stretch>
            <a:fillRect/>
          </a:stretch>
        </xdr:blipFill>
        <xdr:spPr>
          <a:xfrm>
            <a:off x="0" y="26419879"/>
            <a:ext cx="4183239" cy="2486331"/>
          </a:xfrm>
          <a:prstGeom prst="rect">
            <a:avLst/>
          </a:prstGeom>
        </xdr:spPr>
      </xdr:pic>
    </xdr:grpSp>
    <xdr:clientData/>
  </xdr:twoCellAnchor>
  <xdr:twoCellAnchor editAs="oneCell">
    <xdr:from>
      <xdr:col>2</xdr:col>
      <xdr:colOff>1028700</xdr:colOff>
      <xdr:row>1133</xdr:row>
      <xdr:rowOff>104775</xdr:rowOff>
    </xdr:from>
    <xdr:to>
      <xdr:col>5</xdr:col>
      <xdr:colOff>1216478</xdr:colOff>
      <xdr:row>1147</xdr:row>
      <xdr:rowOff>133350</xdr:rowOff>
    </xdr:to>
    <xdr:pic>
      <xdr:nvPicPr>
        <xdr:cNvPr id="20" name="Picture 34">
          <a:extLst>
            <a:ext uri="{FF2B5EF4-FFF2-40B4-BE49-F238E27FC236}">
              <a16:creationId xmlns:a16="http://schemas.microsoft.com/office/drawing/2014/main" id="{A017503A-DA6F-4935-959F-873B340F56D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597650" y="250939300"/>
          <a:ext cx="5661478" cy="2870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1133</xdr:row>
      <xdr:rowOff>114300</xdr:rowOff>
    </xdr:from>
    <xdr:to>
      <xdr:col>2</xdr:col>
      <xdr:colOff>322036</xdr:colOff>
      <xdr:row>1146</xdr:row>
      <xdr:rowOff>168272</xdr:rowOff>
    </xdr:to>
    <xdr:pic>
      <xdr:nvPicPr>
        <xdr:cNvPr id="21" name="Picture 35">
          <a:extLst>
            <a:ext uri="{FF2B5EF4-FFF2-40B4-BE49-F238E27FC236}">
              <a16:creationId xmlns:a16="http://schemas.microsoft.com/office/drawing/2014/main" id="{83E10F5F-26DF-42EF-AF00-2C667EAC109E}"/>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4150" y="250945650"/>
          <a:ext cx="5700486" cy="2695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181328</xdr:colOff>
      <xdr:row>284</xdr:row>
      <xdr:rowOff>68791</xdr:rowOff>
    </xdr:from>
    <xdr:to>
      <xdr:col>2</xdr:col>
      <xdr:colOff>568225</xdr:colOff>
      <xdr:row>319</xdr:row>
      <xdr:rowOff>151436</xdr:rowOff>
    </xdr:to>
    <xdr:pic>
      <xdr:nvPicPr>
        <xdr:cNvPr id="22" name="Picture 1">
          <a:extLst>
            <a:ext uri="{FF2B5EF4-FFF2-40B4-BE49-F238E27FC236}">
              <a16:creationId xmlns:a16="http://schemas.microsoft.com/office/drawing/2014/main" id="{F75B7127-019A-43E5-9BF1-77CDEC8B14D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4503" y="67007316"/>
          <a:ext cx="5946322" cy="7191469"/>
        </a:xfrm>
        <a:prstGeom prst="rect">
          <a:avLst/>
        </a:prstGeom>
      </xdr:spPr>
    </xdr:pic>
    <xdr:clientData/>
  </xdr:twoCellAnchor>
  <xdr:twoCellAnchor editAs="oneCell">
    <xdr:from>
      <xdr:col>2</xdr:col>
      <xdr:colOff>821765</xdr:colOff>
      <xdr:row>283</xdr:row>
      <xdr:rowOff>144742</xdr:rowOff>
    </xdr:from>
    <xdr:to>
      <xdr:col>7</xdr:col>
      <xdr:colOff>42769</xdr:colOff>
      <xdr:row>316</xdr:row>
      <xdr:rowOff>22507</xdr:rowOff>
    </xdr:to>
    <xdr:pic>
      <xdr:nvPicPr>
        <xdr:cNvPr id="23" name="Picture 3">
          <a:extLst>
            <a:ext uri="{FF2B5EF4-FFF2-40B4-BE49-F238E27FC236}">
              <a16:creationId xmlns:a16="http://schemas.microsoft.com/office/drawing/2014/main" id="{6567B6A9-0C91-4DDE-BBB4-173CACCDA72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394824" y="67312801"/>
          <a:ext cx="7266827" cy="6534059"/>
        </a:xfrm>
        <a:prstGeom prst="rect">
          <a:avLst/>
        </a:prstGeom>
      </xdr:spPr>
    </xdr:pic>
    <xdr:clientData/>
  </xdr:twoCellAnchor>
  <xdr:twoCellAnchor editAs="oneCell">
    <xdr:from>
      <xdr:col>0</xdr:col>
      <xdr:colOff>247650</xdr:colOff>
      <xdr:row>620</xdr:row>
      <xdr:rowOff>190500</xdr:rowOff>
    </xdr:from>
    <xdr:to>
      <xdr:col>3</xdr:col>
      <xdr:colOff>338365</xdr:colOff>
      <xdr:row>631</xdr:row>
      <xdr:rowOff>130862</xdr:rowOff>
    </xdr:to>
    <xdr:pic>
      <xdr:nvPicPr>
        <xdr:cNvPr id="24" name="Picture 4">
          <a:extLst>
            <a:ext uri="{FF2B5EF4-FFF2-40B4-BE49-F238E27FC236}">
              <a16:creationId xmlns:a16="http://schemas.microsoft.com/office/drawing/2014/main" id="{1F64425C-7D86-4C7A-9AEB-1E70125E21D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47650" y="136169400"/>
          <a:ext cx="7837715" cy="2988362"/>
        </a:xfrm>
        <a:prstGeom prst="rect">
          <a:avLst/>
        </a:prstGeom>
      </xdr:spPr>
    </xdr:pic>
    <xdr:clientData/>
  </xdr:twoCellAnchor>
  <xdr:twoCellAnchor editAs="oneCell">
    <xdr:from>
      <xdr:col>15</xdr:col>
      <xdr:colOff>801096</xdr:colOff>
      <xdr:row>682</xdr:row>
      <xdr:rowOff>1078</xdr:rowOff>
    </xdr:from>
    <xdr:to>
      <xdr:col>22</xdr:col>
      <xdr:colOff>455082</xdr:colOff>
      <xdr:row>694</xdr:row>
      <xdr:rowOff>226330</xdr:rowOff>
    </xdr:to>
    <xdr:pic>
      <xdr:nvPicPr>
        <xdr:cNvPr id="25" name="Grafik 24" descr="aus CHile von Matthias&#10;">
          <a:extLst>
            <a:ext uri="{FF2B5EF4-FFF2-40B4-BE49-F238E27FC236}">
              <a16:creationId xmlns:a16="http://schemas.microsoft.com/office/drawing/2014/main" id="{9EB828BC-91CE-4C3A-B408-2117446FA340}"/>
            </a:ext>
          </a:extLst>
        </xdr:cNvPr>
        <xdr:cNvPicPr>
          <a:picLocks noChangeAspect="1"/>
        </xdr:cNvPicPr>
      </xdr:nvPicPr>
      <xdr:blipFill>
        <a:blip xmlns:r="http://schemas.openxmlformats.org/officeDocument/2006/relationships" r:embed="rId21"/>
        <a:stretch>
          <a:fillRect/>
        </a:stretch>
      </xdr:blipFill>
      <xdr:spPr>
        <a:xfrm>
          <a:off x="23235646" y="154699778"/>
          <a:ext cx="6708837" cy="3698891"/>
        </a:xfrm>
        <a:prstGeom prst="rect">
          <a:avLst/>
        </a:prstGeom>
      </xdr:spPr>
    </xdr:pic>
    <xdr:clientData/>
  </xdr:twoCellAnchor>
  <xdr:twoCellAnchor editAs="oneCell">
    <xdr:from>
      <xdr:col>15</xdr:col>
      <xdr:colOff>1124174</xdr:colOff>
      <xdr:row>699</xdr:row>
      <xdr:rowOff>63057</xdr:rowOff>
    </xdr:from>
    <xdr:to>
      <xdr:col>22</xdr:col>
      <xdr:colOff>245360</xdr:colOff>
      <xdr:row>711</xdr:row>
      <xdr:rowOff>250979</xdr:rowOff>
    </xdr:to>
    <xdr:pic>
      <xdr:nvPicPr>
        <xdr:cNvPr id="26" name="Grafik 25">
          <a:extLst>
            <a:ext uri="{FF2B5EF4-FFF2-40B4-BE49-F238E27FC236}">
              <a16:creationId xmlns:a16="http://schemas.microsoft.com/office/drawing/2014/main" id="{8CA51CCF-7D57-464A-86B8-2907466E2601}"/>
            </a:ext>
          </a:extLst>
        </xdr:cNvPr>
        <xdr:cNvPicPr>
          <a:picLocks noChangeAspect="1"/>
        </xdr:cNvPicPr>
      </xdr:nvPicPr>
      <xdr:blipFill>
        <a:blip xmlns:r="http://schemas.openxmlformats.org/officeDocument/2006/relationships" r:embed="rId22"/>
        <a:stretch>
          <a:fillRect/>
        </a:stretch>
      </xdr:blipFill>
      <xdr:spPr>
        <a:xfrm>
          <a:off x="23558724" y="158549532"/>
          <a:ext cx="6172862" cy="2813645"/>
        </a:xfrm>
        <a:prstGeom prst="rect">
          <a:avLst/>
        </a:prstGeom>
      </xdr:spPr>
    </xdr:pic>
    <xdr:clientData/>
  </xdr:twoCellAnchor>
  <xdr:twoCellAnchor editAs="oneCell">
    <xdr:from>
      <xdr:col>13</xdr:col>
      <xdr:colOff>1674591</xdr:colOff>
      <xdr:row>29</xdr:row>
      <xdr:rowOff>180724</xdr:rowOff>
    </xdr:from>
    <xdr:to>
      <xdr:col>22</xdr:col>
      <xdr:colOff>92281</xdr:colOff>
      <xdr:row>74</xdr:row>
      <xdr:rowOff>205193</xdr:rowOff>
    </xdr:to>
    <xdr:pic>
      <xdr:nvPicPr>
        <xdr:cNvPr id="27" name="Grafik 26">
          <a:extLst>
            <a:ext uri="{FF2B5EF4-FFF2-40B4-BE49-F238E27FC236}">
              <a16:creationId xmlns:a16="http://schemas.microsoft.com/office/drawing/2014/main" id="{14867C27-2AAB-40CB-A03F-0886EFF26140}"/>
            </a:ext>
          </a:extLst>
        </xdr:cNvPr>
        <xdr:cNvPicPr>
          <a:picLocks noChangeAspect="1"/>
        </xdr:cNvPicPr>
      </xdr:nvPicPr>
      <xdr:blipFill>
        <a:blip xmlns:r="http://schemas.openxmlformats.org/officeDocument/2006/relationships" r:embed="rId23"/>
        <a:stretch>
          <a:fillRect/>
        </a:stretch>
      </xdr:blipFill>
      <xdr:spPr>
        <a:xfrm>
          <a:off x="24062877" y="5514724"/>
          <a:ext cx="8471556" cy="9338718"/>
        </a:xfrm>
        <a:prstGeom prst="rect">
          <a:avLst/>
        </a:prstGeom>
      </xdr:spPr>
    </xdr:pic>
    <xdr:clientData/>
  </xdr:twoCellAnchor>
  <xdr:twoCellAnchor editAs="oneCell">
    <xdr:from>
      <xdr:col>13</xdr:col>
      <xdr:colOff>1602155</xdr:colOff>
      <xdr:row>63</xdr:row>
      <xdr:rowOff>46497</xdr:rowOff>
    </xdr:from>
    <xdr:to>
      <xdr:col>21</xdr:col>
      <xdr:colOff>842825</xdr:colOff>
      <xdr:row>83</xdr:row>
      <xdr:rowOff>187230</xdr:rowOff>
    </xdr:to>
    <xdr:pic>
      <xdr:nvPicPr>
        <xdr:cNvPr id="28" name="Grafik 27">
          <a:extLst>
            <a:ext uri="{FF2B5EF4-FFF2-40B4-BE49-F238E27FC236}">
              <a16:creationId xmlns:a16="http://schemas.microsoft.com/office/drawing/2014/main" id="{FEF53C83-A301-4704-9855-630DF70B4B56}"/>
            </a:ext>
          </a:extLst>
        </xdr:cNvPr>
        <xdr:cNvPicPr>
          <a:picLocks noChangeAspect="1"/>
        </xdr:cNvPicPr>
      </xdr:nvPicPr>
      <xdr:blipFill>
        <a:blip xmlns:r="http://schemas.openxmlformats.org/officeDocument/2006/relationships" r:embed="rId24"/>
        <a:stretch>
          <a:fillRect/>
        </a:stretch>
      </xdr:blipFill>
      <xdr:spPr>
        <a:xfrm>
          <a:off x="23998979" y="15107203"/>
          <a:ext cx="7981260" cy="4305212"/>
        </a:xfrm>
        <a:prstGeom prst="rect">
          <a:avLst/>
        </a:prstGeom>
      </xdr:spPr>
    </xdr:pic>
    <xdr:clientData/>
  </xdr:twoCellAnchor>
  <xdr:twoCellAnchor editAs="oneCell">
    <xdr:from>
      <xdr:col>15</xdr:col>
      <xdr:colOff>59532</xdr:colOff>
      <xdr:row>657</xdr:row>
      <xdr:rowOff>158749</xdr:rowOff>
    </xdr:from>
    <xdr:to>
      <xdr:col>22</xdr:col>
      <xdr:colOff>194149</xdr:colOff>
      <xdr:row>687</xdr:row>
      <xdr:rowOff>256</xdr:rowOff>
    </xdr:to>
    <xdr:pic>
      <xdr:nvPicPr>
        <xdr:cNvPr id="29" name="Grafik 28">
          <a:extLst>
            <a:ext uri="{FF2B5EF4-FFF2-40B4-BE49-F238E27FC236}">
              <a16:creationId xmlns:a16="http://schemas.microsoft.com/office/drawing/2014/main" id="{C07D933C-3E68-4610-9CA2-14A3630469F1}"/>
            </a:ext>
          </a:extLst>
        </xdr:cNvPr>
        <xdr:cNvPicPr>
          <a:picLocks noChangeAspect="1"/>
        </xdr:cNvPicPr>
      </xdr:nvPicPr>
      <xdr:blipFill>
        <a:blip xmlns:r="http://schemas.openxmlformats.org/officeDocument/2006/relationships" r:embed="rId25"/>
        <a:stretch>
          <a:fillRect/>
        </a:stretch>
      </xdr:blipFill>
      <xdr:spPr>
        <a:xfrm>
          <a:off x="22494082" y="147939124"/>
          <a:ext cx="7189468" cy="7332638"/>
        </a:xfrm>
        <a:prstGeom prst="rect">
          <a:avLst/>
        </a:prstGeom>
      </xdr:spPr>
    </xdr:pic>
    <xdr:clientData/>
  </xdr:twoCellAnchor>
  <xdr:twoCellAnchor editAs="oneCell">
    <xdr:from>
      <xdr:col>9</xdr:col>
      <xdr:colOff>2420470</xdr:colOff>
      <xdr:row>278</xdr:row>
      <xdr:rowOff>194235</xdr:rowOff>
    </xdr:from>
    <xdr:to>
      <xdr:col>14</xdr:col>
      <xdr:colOff>550023</xdr:colOff>
      <xdr:row>291</xdr:row>
      <xdr:rowOff>167154</xdr:rowOff>
    </xdr:to>
    <xdr:pic>
      <xdr:nvPicPr>
        <xdr:cNvPr id="30" name="Grafik 29">
          <a:extLst>
            <a:ext uri="{FF2B5EF4-FFF2-40B4-BE49-F238E27FC236}">
              <a16:creationId xmlns:a16="http://schemas.microsoft.com/office/drawing/2014/main" id="{BD9D41E0-1175-9897-DE88-9A86BD2600EF}"/>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959294" y="66152059"/>
          <a:ext cx="7120965" cy="298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14941</xdr:colOff>
      <xdr:row>293</xdr:row>
      <xdr:rowOff>149411</xdr:rowOff>
    </xdr:from>
    <xdr:to>
      <xdr:col>14</xdr:col>
      <xdr:colOff>815042</xdr:colOff>
      <xdr:row>304</xdr:row>
      <xdr:rowOff>112806</xdr:rowOff>
    </xdr:to>
    <xdr:pic>
      <xdr:nvPicPr>
        <xdr:cNvPr id="31" name="Grafik 30">
          <a:extLst>
            <a:ext uri="{FF2B5EF4-FFF2-40B4-BE49-F238E27FC236}">
              <a16:creationId xmlns:a16="http://schemas.microsoft.com/office/drawing/2014/main" id="{D602EA78-9C9E-0ADB-D3EC-840E414C224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8011588" y="69334529"/>
          <a:ext cx="7336865" cy="2182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75635</xdr:colOff>
      <xdr:row>2</xdr:row>
      <xdr:rowOff>26275</xdr:rowOff>
    </xdr:from>
    <xdr:to>
      <xdr:col>1</xdr:col>
      <xdr:colOff>1682808</xdr:colOff>
      <xdr:row>3</xdr:row>
      <xdr:rowOff>17191</xdr:rowOff>
    </xdr:to>
    <xdr:pic>
      <xdr:nvPicPr>
        <xdr:cNvPr id="2" name="1 Imagen">
          <a:extLst>
            <a:ext uri="{FF2B5EF4-FFF2-40B4-BE49-F238E27FC236}">
              <a16:creationId xmlns:a16="http://schemas.microsoft.com/office/drawing/2014/main" id="{0F0D8B2D-80E6-461C-90FD-F9C2AD1F51A4}"/>
            </a:ext>
          </a:extLst>
        </xdr:cNvPr>
        <xdr:cNvPicPr/>
      </xdr:nvPicPr>
      <xdr:blipFill rotWithShape="1">
        <a:blip xmlns:r="http://schemas.openxmlformats.org/officeDocument/2006/relationships" r:embed="rId1"/>
        <a:srcRect t="3138" b="-1"/>
        <a:stretch/>
      </xdr:blipFill>
      <xdr:spPr>
        <a:xfrm>
          <a:off x="837635" y="26275"/>
          <a:ext cx="1603998" cy="667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160111</xdr:colOff>
      <xdr:row>166</xdr:row>
      <xdr:rowOff>172810</xdr:rowOff>
    </xdr:from>
    <xdr:to>
      <xdr:col>4</xdr:col>
      <xdr:colOff>1660071</xdr:colOff>
      <xdr:row>184</xdr:row>
      <xdr:rowOff>27214</xdr:rowOff>
    </xdr:to>
    <xdr:graphicFrame macro="">
      <xdr:nvGraphicFramePr>
        <xdr:cNvPr id="38" name="Chart 37">
          <a:extLst>
            <a:ext uri="{FF2B5EF4-FFF2-40B4-BE49-F238E27FC236}">
              <a16:creationId xmlns:a16="http://schemas.microsoft.com/office/drawing/2014/main" id="{3277690E-6875-45C4-BF61-F77330A2C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145598</xdr:colOff>
      <xdr:row>202</xdr:row>
      <xdr:rowOff>95250</xdr:rowOff>
    </xdr:from>
    <xdr:to>
      <xdr:col>4</xdr:col>
      <xdr:colOff>1714500</xdr:colOff>
      <xdr:row>219</xdr:row>
      <xdr:rowOff>123372</xdr:rowOff>
    </xdr:to>
    <xdr:graphicFrame macro="">
      <xdr:nvGraphicFramePr>
        <xdr:cNvPr id="39" name="Chart 38">
          <a:extLst>
            <a:ext uri="{FF2B5EF4-FFF2-40B4-BE49-F238E27FC236}">
              <a16:creationId xmlns:a16="http://schemas.microsoft.com/office/drawing/2014/main" id="{64AE89BD-76B8-4BFB-BE47-A7EFD134C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149679</xdr:colOff>
      <xdr:row>184</xdr:row>
      <xdr:rowOff>160111</xdr:rowOff>
    </xdr:from>
    <xdr:to>
      <xdr:col>4</xdr:col>
      <xdr:colOff>1673678</xdr:colOff>
      <xdr:row>201</xdr:row>
      <xdr:rowOff>162150</xdr:rowOff>
    </xdr:to>
    <xdr:graphicFrame macro="">
      <xdr:nvGraphicFramePr>
        <xdr:cNvPr id="40" name="Chart 5">
          <a:extLst>
            <a:ext uri="{FF2B5EF4-FFF2-40B4-BE49-F238E27FC236}">
              <a16:creationId xmlns:a16="http://schemas.microsoft.com/office/drawing/2014/main" id="{64CDD123-1053-46CD-9D0F-44093C166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125639</xdr:colOff>
      <xdr:row>220</xdr:row>
      <xdr:rowOff>40820</xdr:rowOff>
    </xdr:from>
    <xdr:to>
      <xdr:col>4</xdr:col>
      <xdr:colOff>1721757</xdr:colOff>
      <xdr:row>237</xdr:row>
      <xdr:rowOff>163284</xdr:rowOff>
    </xdr:to>
    <xdr:graphicFrame macro="">
      <xdr:nvGraphicFramePr>
        <xdr:cNvPr id="41" name="Chart 5">
          <a:extLst>
            <a:ext uri="{FF2B5EF4-FFF2-40B4-BE49-F238E27FC236}">
              <a16:creationId xmlns:a16="http://schemas.microsoft.com/office/drawing/2014/main" id="{07030F00-D2CE-4E2A-9B38-A64A05399D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1870529</xdr:colOff>
      <xdr:row>167</xdr:row>
      <xdr:rowOff>3175</xdr:rowOff>
    </xdr:from>
    <xdr:to>
      <xdr:col>9</xdr:col>
      <xdr:colOff>1003754</xdr:colOff>
      <xdr:row>184</xdr:row>
      <xdr:rowOff>21772</xdr:rowOff>
    </xdr:to>
    <xdr:graphicFrame macro="">
      <xdr:nvGraphicFramePr>
        <xdr:cNvPr id="42" name="Chart 41">
          <a:extLst>
            <a:ext uri="{FF2B5EF4-FFF2-40B4-BE49-F238E27FC236}">
              <a16:creationId xmlns:a16="http://schemas.microsoft.com/office/drawing/2014/main" id="{BEB8D56D-8D04-40C0-99EB-E63EF161B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2448380</xdr:colOff>
      <xdr:row>202</xdr:row>
      <xdr:rowOff>99333</xdr:rowOff>
    </xdr:from>
    <xdr:to>
      <xdr:col>9</xdr:col>
      <xdr:colOff>1669597</xdr:colOff>
      <xdr:row>219</xdr:row>
      <xdr:rowOff>130630</xdr:rowOff>
    </xdr:to>
    <xdr:graphicFrame macro="">
      <xdr:nvGraphicFramePr>
        <xdr:cNvPr id="43" name="Chart 42">
          <a:extLst>
            <a:ext uri="{FF2B5EF4-FFF2-40B4-BE49-F238E27FC236}">
              <a16:creationId xmlns:a16="http://schemas.microsoft.com/office/drawing/2014/main" id="{013A423C-7993-4E98-B2D0-97251DF8E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1833789</xdr:colOff>
      <xdr:row>184</xdr:row>
      <xdr:rowOff>164194</xdr:rowOff>
    </xdr:from>
    <xdr:to>
      <xdr:col>9</xdr:col>
      <xdr:colOff>1016453</xdr:colOff>
      <xdr:row>201</xdr:row>
      <xdr:rowOff>159883</xdr:rowOff>
    </xdr:to>
    <xdr:graphicFrame macro="">
      <xdr:nvGraphicFramePr>
        <xdr:cNvPr id="44" name="Chart 5">
          <a:extLst>
            <a:ext uri="{FF2B5EF4-FFF2-40B4-BE49-F238E27FC236}">
              <a16:creationId xmlns:a16="http://schemas.microsoft.com/office/drawing/2014/main" id="{B225501D-A2E8-47F5-BE02-E7E4666EF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2422071</xdr:colOff>
      <xdr:row>220</xdr:row>
      <xdr:rowOff>51253</xdr:rowOff>
    </xdr:from>
    <xdr:to>
      <xdr:col>9</xdr:col>
      <xdr:colOff>1664154</xdr:colOff>
      <xdr:row>237</xdr:row>
      <xdr:rowOff>161017</xdr:rowOff>
    </xdr:to>
    <xdr:graphicFrame macro="">
      <xdr:nvGraphicFramePr>
        <xdr:cNvPr id="45" name="Chart 5">
          <a:extLst>
            <a:ext uri="{FF2B5EF4-FFF2-40B4-BE49-F238E27FC236}">
              <a16:creationId xmlns:a16="http://schemas.microsoft.com/office/drawing/2014/main" id="{E22B1847-6728-4DCE-B69E-6DC8BC4C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105833</xdr:colOff>
      <xdr:row>0</xdr:row>
      <xdr:rowOff>0</xdr:rowOff>
    </xdr:from>
    <xdr:to>
      <xdr:col>43</xdr:col>
      <xdr:colOff>124883</xdr:colOff>
      <xdr:row>87</xdr:row>
      <xdr:rowOff>3703</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D87CAC43-DBBF-4F33-BEEE-A6B42FD692D6}"/>
                </a:ext>
                <a:ext uri="{147F2762-F138-4A5C-976F-8EAC2B608ADB}">
                  <a16:predDERef xmlns:a16="http://schemas.microsoft.com/office/drawing/2014/main" pred="{E22B1847-6728-4DCE-B69E-6DC8BC4CE0D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29118983" y="0"/>
              <a:ext cx="15963900" cy="18501253"/>
            </a:xfrm>
            <a:prstGeom prst="rect">
              <a:avLst/>
            </a:prstGeom>
            <a:solidFill>
              <a:prstClr val="white"/>
            </a:solidFill>
            <a:ln w="1">
              <a:solidFill>
                <a:prstClr val="green"/>
              </a:solidFill>
            </a:ln>
          </xdr:spPr>
          <xdr:txBody>
            <a:bodyPr vertOverflow="clip" horzOverflow="clip"/>
            <a:lstStyle/>
            <a:p>
              <a:r>
                <a:rPr lang="es-419"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44</xdr:col>
      <xdr:colOff>587375</xdr:colOff>
      <xdr:row>0</xdr:row>
      <xdr:rowOff>236536</xdr:rowOff>
    </xdr:from>
    <xdr:to>
      <xdr:col>93</xdr:col>
      <xdr:colOff>205316</xdr:colOff>
      <xdr:row>94</xdr:row>
      <xdr:rowOff>107419</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F078576-1FD2-4B55-9352-99185A4E1FB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46135925" y="236536"/>
              <a:ext cx="28554891" cy="20035308"/>
            </a:xfrm>
            <a:prstGeom prst="rect">
              <a:avLst/>
            </a:prstGeom>
            <a:solidFill>
              <a:prstClr val="white"/>
            </a:solidFill>
            <a:ln w="1">
              <a:solidFill>
                <a:prstClr val="green"/>
              </a:solidFill>
            </a:ln>
          </xdr:spPr>
          <xdr:txBody>
            <a:bodyPr vertOverflow="clip" horzOverflow="clip"/>
            <a:lstStyle/>
            <a:p>
              <a:r>
                <a:rPr lang="es-419"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16</xdr:col>
      <xdr:colOff>190500</xdr:colOff>
      <xdr:row>99</xdr:row>
      <xdr:rowOff>190499</xdr:rowOff>
    </xdr:from>
    <xdr:to>
      <xdr:col>43</xdr:col>
      <xdr:colOff>195791</xdr:colOff>
      <xdr:row>178</xdr:row>
      <xdr:rowOff>188910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B640168E-B35A-4446-BB62-AE7567E02153}"/>
                </a:ext>
                <a:ext uri="{147F2762-F138-4A5C-976F-8EAC2B608ADB}">
                  <a16:predDERef xmlns:a16="http://schemas.microsoft.com/office/drawing/2014/main" pred="{AF078576-1FD2-4B55-9352-99185A4E1FB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29203650" y="21383624"/>
              <a:ext cx="15950141" cy="15628936"/>
            </a:xfrm>
            <a:prstGeom prst="rect">
              <a:avLst/>
            </a:prstGeom>
            <a:solidFill>
              <a:prstClr val="white"/>
            </a:solidFill>
            <a:ln w="1">
              <a:solidFill>
                <a:prstClr val="green"/>
              </a:solidFill>
            </a:ln>
          </xdr:spPr>
          <xdr:txBody>
            <a:bodyPr vertOverflow="clip" horzOverflow="clip"/>
            <a:lstStyle/>
            <a:p>
              <a:r>
                <a:rPr lang="es-419"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44</xdr:col>
      <xdr:colOff>588962</xdr:colOff>
      <xdr:row>99</xdr:row>
      <xdr:rowOff>95247</xdr:rowOff>
    </xdr:from>
    <xdr:to>
      <xdr:col>93</xdr:col>
      <xdr:colOff>181503</xdr:colOff>
      <xdr:row>185</xdr:row>
      <xdr:rowOff>190497</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6F146745-7B71-4BAA-869A-AAFD3D39138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46137512" y="21288372"/>
              <a:ext cx="28529491" cy="17059275"/>
            </a:xfrm>
            <a:prstGeom prst="rect">
              <a:avLst/>
            </a:prstGeom>
            <a:solidFill>
              <a:prstClr val="white"/>
            </a:solidFill>
            <a:ln w="1">
              <a:solidFill>
                <a:prstClr val="green"/>
              </a:solidFill>
            </a:ln>
          </xdr:spPr>
          <xdr:txBody>
            <a:bodyPr vertOverflow="clip" horzOverflow="clip"/>
            <a:lstStyle/>
            <a:p>
              <a:r>
                <a:rPr lang="es-419"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10</xdr:col>
      <xdr:colOff>1943100</xdr:colOff>
      <xdr:row>140</xdr:row>
      <xdr:rowOff>295275</xdr:rowOff>
    </xdr:from>
    <xdr:to>
      <xdr:col>18</xdr:col>
      <xdr:colOff>0</xdr:colOff>
      <xdr:row>229</xdr:row>
      <xdr:rowOff>85725</xdr:rowOff>
    </xdr:to>
    <xdr:pic>
      <xdr:nvPicPr>
        <xdr:cNvPr id="6" name="Picture 5">
          <a:extLst>
            <a:ext uri="{FF2B5EF4-FFF2-40B4-BE49-F238E27FC236}">
              <a16:creationId xmlns:a16="http://schemas.microsoft.com/office/drawing/2014/main" id="{6A21EF27-D8D6-808F-6AC9-19D13575D64D}"/>
            </a:ext>
            <a:ext uri="{147F2762-F138-4A5C-976F-8EAC2B608ADB}">
              <a16:predDERef xmlns:a16="http://schemas.microsoft.com/office/drawing/2014/main" pred="{6F146745-7B71-4BAA-869A-AAFD3D391382}"/>
            </a:ext>
          </a:extLst>
        </xdr:cNvPr>
        <xdr:cNvPicPr>
          <a:picLocks noChangeAspect="1"/>
        </xdr:cNvPicPr>
      </xdr:nvPicPr>
      <xdr:blipFill>
        <a:blip xmlns:r="http://schemas.openxmlformats.org/officeDocument/2006/relationships" r:embed="rId13"/>
        <a:stretch>
          <a:fillRect/>
        </a:stretch>
      </xdr:blipFill>
      <xdr:spPr>
        <a:xfrm>
          <a:off x="20726400" y="29403675"/>
          <a:ext cx="9601200" cy="16630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6669959</xdr:colOff>
      <xdr:row>0</xdr:row>
      <xdr:rowOff>96913</xdr:rowOff>
    </xdr:from>
    <xdr:ext cx="1638865" cy="717550"/>
    <xdr:pic>
      <xdr:nvPicPr>
        <xdr:cNvPr id="2" name="1 Imagen">
          <a:extLst>
            <a:ext uri="{FF2B5EF4-FFF2-40B4-BE49-F238E27FC236}">
              <a16:creationId xmlns:a16="http://schemas.microsoft.com/office/drawing/2014/main" id="{EE0B09CB-33B5-4338-8C11-7A66CC88648D}"/>
            </a:ext>
          </a:extLst>
        </xdr:cNvPr>
        <xdr:cNvPicPr/>
      </xdr:nvPicPr>
      <xdr:blipFill rotWithShape="1">
        <a:blip xmlns:r="http://schemas.openxmlformats.org/officeDocument/2006/relationships" r:embed="rId1"/>
        <a:srcRect t="3138" b="-1"/>
        <a:stretch/>
      </xdr:blipFill>
      <xdr:spPr>
        <a:xfrm>
          <a:off x="9289334" y="96913"/>
          <a:ext cx="1638865" cy="7175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4</xdr:col>
      <xdr:colOff>750852</xdr:colOff>
      <xdr:row>0</xdr:row>
      <xdr:rowOff>141816</xdr:rowOff>
    </xdr:from>
    <xdr:to>
      <xdr:col>6</xdr:col>
      <xdr:colOff>591125</xdr:colOff>
      <xdr:row>1</xdr:row>
      <xdr:rowOff>93556</xdr:rowOff>
    </xdr:to>
    <xdr:pic>
      <xdr:nvPicPr>
        <xdr:cNvPr id="2" name="1 Imagen">
          <a:extLst>
            <a:ext uri="{FF2B5EF4-FFF2-40B4-BE49-F238E27FC236}">
              <a16:creationId xmlns:a16="http://schemas.microsoft.com/office/drawing/2014/main" id="{F7A9105E-B0A1-43BE-A941-C92981CE4FF9}"/>
            </a:ext>
          </a:extLst>
        </xdr:cNvPr>
        <xdr:cNvPicPr/>
      </xdr:nvPicPr>
      <xdr:blipFill rotWithShape="1">
        <a:blip xmlns:r="http://schemas.openxmlformats.org/officeDocument/2006/relationships" r:embed="rId1"/>
        <a:srcRect t="3138" b="-1"/>
        <a:stretch/>
      </xdr:blipFill>
      <xdr:spPr>
        <a:xfrm>
          <a:off x="10390152" y="141816"/>
          <a:ext cx="1656827" cy="713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21168</xdr:colOff>
      <xdr:row>546</xdr:row>
      <xdr:rowOff>137583</xdr:rowOff>
    </xdr:from>
    <xdr:to>
      <xdr:col>1</xdr:col>
      <xdr:colOff>1730920</xdr:colOff>
      <xdr:row>573</xdr:row>
      <xdr:rowOff>1893</xdr:rowOff>
    </xdr:to>
    <xdr:pic>
      <xdr:nvPicPr>
        <xdr:cNvPr id="7" name="Picture 6">
          <a:extLst>
            <a:ext uri="{FF2B5EF4-FFF2-40B4-BE49-F238E27FC236}">
              <a16:creationId xmlns:a16="http://schemas.microsoft.com/office/drawing/2014/main" id="{917424CC-568A-4772-9CEB-DFE8333EFBB5}"/>
            </a:ext>
          </a:extLst>
        </xdr:cNvPr>
        <xdr:cNvPicPr>
          <a:picLocks noChangeAspect="1"/>
        </xdr:cNvPicPr>
      </xdr:nvPicPr>
      <xdr:blipFill>
        <a:blip xmlns:r="http://schemas.openxmlformats.org/officeDocument/2006/relationships" r:embed="rId1"/>
        <a:stretch>
          <a:fillRect/>
        </a:stretch>
      </xdr:blipFill>
      <xdr:spPr>
        <a:xfrm>
          <a:off x="21168" y="42301583"/>
          <a:ext cx="4032250" cy="4989555"/>
        </a:xfrm>
        <a:prstGeom prst="rect">
          <a:avLst/>
        </a:prstGeom>
        <a:ln>
          <a:solidFill>
            <a:sysClr val="windowText" lastClr="000000"/>
          </a:solidFill>
        </a:ln>
      </xdr:spPr>
    </xdr:pic>
    <xdr:clientData/>
  </xdr:twoCellAnchor>
  <xdr:twoCellAnchor editAs="oneCell">
    <xdr:from>
      <xdr:col>6</xdr:col>
      <xdr:colOff>538907</xdr:colOff>
      <xdr:row>547</xdr:row>
      <xdr:rowOff>86954</xdr:rowOff>
    </xdr:from>
    <xdr:to>
      <xdr:col>10</xdr:col>
      <xdr:colOff>110407</xdr:colOff>
      <xdr:row>560</xdr:row>
      <xdr:rowOff>16230</xdr:rowOff>
    </xdr:to>
    <xdr:pic>
      <xdr:nvPicPr>
        <xdr:cNvPr id="8" name="Picture 7">
          <a:extLst>
            <a:ext uri="{FF2B5EF4-FFF2-40B4-BE49-F238E27FC236}">
              <a16:creationId xmlns:a16="http://schemas.microsoft.com/office/drawing/2014/main" id="{7DAAF335-B0FA-4B56-BB41-4800DEC5BAD9}"/>
            </a:ext>
          </a:extLst>
        </xdr:cNvPr>
        <xdr:cNvPicPr>
          <a:picLocks noChangeAspect="1"/>
        </xdr:cNvPicPr>
      </xdr:nvPicPr>
      <xdr:blipFill>
        <a:blip xmlns:r="http://schemas.openxmlformats.org/officeDocument/2006/relationships" r:embed="rId2"/>
        <a:stretch>
          <a:fillRect/>
        </a:stretch>
      </xdr:blipFill>
      <xdr:spPr>
        <a:xfrm>
          <a:off x="8681848" y="124427425"/>
          <a:ext cx="4217769" cy="2447983"/>
        </a:xfrm>
        <a:prstGeom prst="rect">
          <a:avLst/>
        </a:prstGeom>
      </xdr:spPr>
    </xdr:pic>
    <xdr:clientData/>
  </xdr:twoCellAnchor>
  <xdr:twoCellAnchor editAs="oneCell">
    <xdr:from>
      <xdr:col>2</xdr:col>
      <xdr:colOff>691651</xdr:colOff>
      <xdr:row>547</xdr:row>
      <xdr:rowOff>6226</xdr:rowOff>
    </xdr:from>
    <xdr:to>
      <xdr:col>4</xdr:col>
      <xdr:colOff>1783564</xdr:colOff>
      <xdr:row>561</xdr:row>
      <xdr:rowOff>41785</xdr:rowOff>
    </xdr:to>
    <xdr:pic>
      <xdr:nvPicPr>
        <xdr:cNvPr id="9" name="Picture 8">
          <a:extLst>
            <a:ext uri="{FF2B5EF4-FFF2-40B4-BE49-F238E27FC236}">
              <a16:creationId xmlns:a16="http://schemas.microsoft.com/office/drawing/2014/main" id="{B29720EA-2D5C-4B11-A0DB-504B966065E2}"/>
            </a:ext>
          </a:extLst>
        </xdr:cNvPr>
        <xdr:cNvPicPr>
          <a:picLocks noChangeAspect="1"/>
        </xdr:cNvPicPr>
      </xdr:nvPicPr>
      <xdr:blipFill>
        <a:blip xmlns:r="http://schemas.openxmlformats.org/officeDocument/2006/relationships" r:embed="rId3"/>
        <a:stretch>
          <a:fillRect/>
        </a:stretch>
      </xdr:blipFill>
      <xdr:spPr>
        <a:xfrm>
          <a:off x="4225239" y="124346697"/>
          <a:ext cx="4170915" cy="2754853"/>
        </a:xfrm>
        <a:prstGeom prst="rect">
          <a:avLst/>
        </a:prstGeom>
      </xdr:spPr>
    </xdr:pic>
    <xdr:clientData/>
  </xdr:twoCellAnchor>
  <xdr:twoCellAnchor editAs="oneCell">
    <xdr:from>
      <xdr:col>0</xdr:col>
      <xdr:colOff>0</xdr:colOff>
      <xdr:row>575</xdr:row>
      <xdr:rowOff>44823</xdr:rowOff>
    </xdr:from>
    <xdr:to>
      <xdr:col>3</xdr:col>
      <xdr:colOff>1207054</xdr:colOff>
      <xdr:row>583</xdr:row>
      <xdr:rowOff>156422</xdr:rowOff>
    </xdr:to>
    <xdr:pic>
      <xdr:nvPicPr>
        <xdr:cNvPr id="10" name="Picture 9">
          <a:extLst>
            <a:ext uri="{FF2B5EF4-FFF2-40B4-BE49-F238E27FC236}">
              <a16:creationId xmlns:a16="http://schemas.microsoft.com/office/drawing/2014/main" id="{98528311-0EFF-42FB-B307-E369496D8CDD}"/>
            </a:ext>
          </a:extLst>
        </xdr:cNvPr>
        <xdr:cNvPicPr>
          <a:picLocks noChangeAspect="1"/>
        </xdr:cNvPicPr>
      </xdr:nvPicPr>
      <xdr:blipFill>
        <a:blip xmlns:r="http://schemas.openxmlformats.org/officeDocument/2006/relationships" r:embed="rId4"/>
        <a:stretch>
          <a:fillRect/>
        </a:stretch>
      </xdr:blipFill>
      <xdr:spPr>
        <a:xfrm>
          <a:off x="0" y="129248647"/>
          <a:ext cx="8264705" cy="1665483"/>
        </a:xfrm>
        <a:prstGeom prst="rect">
          <a:avLst/>
        </a:prstGeom>
      </xdr:spPr>
    </xdr:pic>
    <xdr:clientData/>
  </xdr:twoCellAnchor>
  <xdr:oneCellAnchor>
    <xdr:from>
      <xdr:col>2</xdr:col>
      <xdr:colOff>1760803</xdr:colOff>
      <xdr:row>1039</xdr:row>
      <xdr:rowOff>124355</xdr:rowOff>
    </xdr:from>
    <xdr:ext cx="3730938" cy="2997728"/>
    <xdr:pic>
      <xdr:nvPicPr>
        <xdr:cNvPr id="20" name="Picture 19">
          <a:extLst>
            <a:ext uri="{FF2B5EF4-FFF2-40B4-BE49-F238E27FC236}">
              <a16:creationId xmlns:a16="http://schemas.microsoft.com/office/drawing/2014/main" id="{4A37EAD7-AF00-4ED6-B872-CFA6C0E242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92636" y="205758522"/>
          <a:ext cx="3730938" cy="2997728"/>
        </a:xfrm>
        <a:prstGeom prst="rect">
          <a:avLst/>
        </a:prstGeom>
        <a:ln>
          <a:solidFill>
            <a:sysClr val="windowText" lastClr="000000"/>
          </a:solidFill>
        </a:ln>
      </xdr:spPr>
    </xdr:pic>
    <xdr:clientData/>
  </xdr:oneCellAnchor>
  <xdr:oneCellAnchor>
    <xdr:from>
      <xdr:col>0</xdr:col>
      <xdr:colOff>211666</xdr:colOff>
      <xdr:row>1044</xdr:row>
      <xdr:rowOff>19843</xdr:rowOff>
    </xdr:from>
    <xdr:ext cx="4512468" cy="1683285"/>
    <xdr:pic>
      <xdr:nvPicPr>
        <xdr:cNvPr id="21" name="Picture 20">
          <a:extLst>
            <a:ext uri="{FF2B5EF4-FFF2-40B4-BE49-F238E27FC236}">
              <a16:creationId xmlns:a16="http://schemas.microsoft.com/office/drawing/2014/main" id="{DB695965-814D-4D65-89BB-0F5922201D1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1666" y="206606510"/>
          <a:ext cx="4512468" cy="1683285"/>
        </a:xfrm>
        <a:prstGeom prst="rect">
          <a:avLst/>
        </a:prstGeom>
        <a:ln>
          <a:solidFill>
            <a:sysClr val="windowText" lastClr="000000"/>
          </a:solidFill>
        </a:ln>
      </xdr:spPr>
    </xdr:pic>
    <xdr:clientData/>
  </xdr:oneCellAnchor>
  <xdr:twoCellAnchor editAs="oneCell">
    <xdr:from>
      <xdr:col>0</xdr:col>
      <xdr:colOff>0</xdr:colOff>
      <xdr:row>897</xdr:row>
      <xdr:rowOff>0</xdr:rowOff>
    </xdr:from>
    <xdr:to>
      <xdr:col>1</xdr:col>
      <xdr:colOff>2930439</xdr:colOff>
      <xdr:row>929</xdr:row>
      <xdr:rowOff>73888</xdr:rowOff>
    </xdr:to>
    <xdr:pic>
      <xdr:nvPicPr>
        <xdr:cNvPr id="17" name="Picture 16">
          <a:extLst>
            <a:ext uri="{FF2B5EF4-FFF2-40B4-BE49-F238E27FC236}">
              <a16:creationId xmlns:a16="http://schemas.microsoft.com/office/drawing/2014/main" id="{B4101602-CDDB-4952-AF35-F030A76DB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0023156"/>
          <a:ext cx="5236306" cy="6173061"/>
        </a:xfrm>
        <a:prstGeom prst="rect">
          <a:avLst/>
        </a:prstGeom>
      </xdr:spPr>
    </xdr:pic>
    <xdr:clientData/>
  </xdr:twoCellAnchor>
  <xdr:twoCellAnchor editAs="oneCell">
    <xdr:from>
      <xdr:col>0</xdr:col>
      <xdr:colOff>0</xdr:colOff>
      <xdr:row>929</xdr:row>
      <xdr:rowOff>95251</xdr:rowOff>
    </xdr:from>
    <xdr:to>
      <xdr:col>1</xdr:col>
      <xdr:colOff>2853913</xdr:colOff>
      <xdr:row>953</xdr:row>
      <xdr:rowOff>58420</xdr:rowOff>
    </xdr:to>
    <xdr:pic>
      <xdr:nvPicPr>
        <xdr:cNvPr id="18" name="Picture 17">
          <a:extLst>
            <a:ext uri="{FF2B5EF4-FFF2-40B4-BE49-F238E27FC236}">
              <a16:creationId xmlns:a16="http://schemas.microsoft.com/office/drawing/2014/main" id="{9775507C-6D79-4CE8-AE22-A866B7DB361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96214407"/>
          <a:ext cx="5179148" cy="4534533"/>
        </a:xfrm>
        <a:prstGeom prst="rect">
          <a:avLst/>
        </a:prstGeom>
      </xdr:spPr>
    </xdr:pic>
    <xdr:clientData/>
  </xdr:twoCellAnchor>
  <xdr:twoCellAnchor editAs="oneCell">
    <xdr:from>
      <xdr:col>0</xdr:col>
      <xdr:colOff>8659</xdr:colOff>
      <xdr:row>512</xdr:row>
      <xdr:rowOff>43295</xdr:rowOff>
    </xdr:from>
    <xdr:to>
      <xdr:col>3</xdr:col>
      <xdr:colOff>1111134</xdr:colOff>
      <xdr:row>535</xdr:row>
      <xdr:rowOff>168571</xdr:rowOff>
    </xdr:to>
    <xdr:pic>
      <xdr:nvPicPr>
        <xdr:cNvPr id="22" name="Picture 21">
          <a:extLst>
            <a:ext uri="{FF2B5EF4-FFF2-40B4-BE49-F238E27FC236}">
              <a16:creationId xmlns:a16="http://schemas.microsoft.com/office/drawing/2014/main" id="{4A844B98-0D8D-4C1C-8530-236092ECDB55}"/>
            </a:ext>
          </a:extLst>
        </xdr:cNvPr>
        <xdr:cNvPicPr>
          <a:picLocks noChangeAspect="1"/>
        </xdr:cNvPicPr>
      </xdr:nvPicPr>
      <xdr:blipFill>
        <a:blip xmlns:r="http://schemas.openxmlformats.org/officeDocument/2006/relationships" r:embed="rId9"/>
        <a:stretch>
          <a:fillRect/>
        </a:stretch>
      </xdr:blipFill>
      <xdr:spPr>
        <a:xfrm>
          <a:off x="8659" y="204501750"/>
          <a:ext cx="8458139" cy="4303806"/>
        </a:xfrm>
        <a:prstGeom prst="rect">
          <a:avLst/>
        </a:prstGeom>
      </xdr:spPr>
    </xdr:pic>
    <xdr:clientData/>
  </xdr:twoCellAnchor>
  <xdr:twoCellAnchor editAs="oneCell">
    <xdr:from>
      <xdr:col>4</xdr:col>
      <xdr:colOff>1750146</xdr:colOff>
      <xdr:row>512</xdr:row>
      <xdr:rowOff>42212</xdr:rowOff>
    </xdr:from>
    <xdr:to>
      <xdr:col>11</xdr:col>
      <xdr:colOff>570854</xdr:colOff>
      <xdr:row>534</xdr:row>
      <xdr:rowOff>17303</xdr:rowOff>
    </xdr:to>
    <xdr:pic>
      <xdr:nvPicPr>
        <xdr:cNvPr id="23" name="Picture 22">
          <a:extLst>
            <a:ext uri="{FF2B5EF4-FFF2-40B4-BE49-F238E27FC236}">
              <a16:creationId xmlns:a16="http://schemas.microsoft.com/office/drawing/2014/main" id="{797347D1-76AB-40B7-AB47-2C3EAC1CD7EA}"/>
            </a:ext>
          </a:extLst>
        </xdr:cNvPr>
        <xdr:cNvPicPr>
          <a:picLocks noChangeAspect="1"/>
        </xdr:cNvPicPr>
      </xdr:nvPicPr>
      <xdr:blipFill>
        <a:blip xmlns:r="http://schemas.openxmlformats.org/officeDocument/2006/relationships" r:embed="rId10"/>
        <a:stretch>
          <a:fillRect/>
        </a:stretch>
      </xdr:blipFill>
      <xdr:spPr>
        <a:xfrm>
          <a:off x="8789987" y="204500667"/>
          <a:ext cx="8288745" cy="3967338"/>
        </a:xfrm>
        <a:prstGeom prst="rect">
          <a:avLst/>
        </a:prstGeom>
      </xdr:spPr>
    </xdr:pic>
    <xdr:clientData/>
  </xdr:twoCellAnchor>
  <xdr:twoCellAnchor editAs="oneCell">
    <xdr:from>
      <xdr:col>0</xdr:col>
      <xdr:colOff>57149</xdr:colOff>
      <xdr:row>971</xdr:row>
      <xdr:rowOff>28575</xdr:rowOff>
    </xdr:from>
    <xdr:to>
      <xdr:col>2</xdr:col>
      <xdr:colOff>879361</xdr:colOff>
      <xdr:row>985</xdr:row>
      <xdr:rowOff>53340</xdr:rowOff>
    </xdr:to>
    <xdr:pic>
      <xdr:nvPicPr>
        <xdr:cNvPr id="24" name="Picture 23">
          <a:extLst>
            <a:ext uri="{FF2B5EF4-FFF2-40B4-BE49-F238E27FC236}">
              <a16:creationId xmlns:a16="http://schemas.microsoft.com/office/drawing/2014/main" id="{00081ECE-8A0F-4CC4-AB63-A064F26074A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49" y="180365400"/>
          <a:ext cx="6275420" cy="2688591"/>
        </a:xfrm>
        <a:prstGeom prst="rect">
          <a:avLst/>
        </a:prstGeom>
      </xdr:spPr>
    </xdr:pic>
    <xdr:clientData/>
  </xdr:twoCellAnchor>
  <xdr:twoCellAnchor editAs="oneCell">
    <xdr:from>
      <xdr:col>2</xdr:col>
      <xdr:colOff>1600200</xdr:colOff>
      <xdr:row>971</xdr:row>
      <xdr:rowOff>31069</xdr:rowOff>
    </xdr:from>
    <xdr:to>
      <xdr:col>7</xdr:col>
      <xdr:colOff>273133</xdr:colOff>
      <xdr:row>987</xdr:row>
      <xdr:rowOff>2255</xdr:rowOff>
    </xdr:to>
    <xdr:pic>
      <xdr:nvPicPr>
        <xdr:cNvPr id="25" name="Picture 24">
          <a:extLst>
            <a:ext uri="{FF2B5EF4-FFF2-40B4-BE49-F238E27FC236}">
              <a16:creationId xmlns:a16="http://schemas.microsoft.com/office/drawing/2014/main" id="{E09F8B3F-650F-4A9F-B4AD-A64425B3598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27800" y="206101269"/>
          <a:ext cx="6363720" cy="3015786"/>
        </a:xfrm>
        <a:prstGeom prst="rect">
          <a:avLst/>
        </a:prstGeom>
      </xdr:spPr>
    </xdr:pic>
    <xdr:clientData/>
  </xdr:twoCellAnchor>
  <xdr:twoCellAnchor editAs="oneCell">
    <xdr:from>
      <xdr:col>3</xdr:col>
      <xdr:colOff>1167794</xdr:colOff>
      <xdr:row>898</xdr:row>
      <xdr:rowOff>173182</xdr:rowOff>
    </xdr:from>
    <xdr:to>
      <xdr:col>5</xdr:col>
      <xdr:colOff>1124248</xdr:colOff>
      <xdr:row>912</xdr:row>
      <xdr:rowOff>52555</xdr:rowOff>
    </xdr:to>
    <xdr:pic>
      <xdr:nvPicPr>
        <xdr:cNvPr id="3" name="Picture 2">
          <a:extLst>
            <a:ext uri="{FF2B5EF4-FFF2-40B4-BE49-F238E27FC236}">
              <a16:creationId xmlns:a16="http://schemas.microsoft.com/office/drawing/2014/main" id="{89BCBF7E-C38C-4D2F-BBD7-2357D009B993}"/>
            </a:ext>
          </a:extLst>
        </xdr:cNvPr>
        <xdr:cNvPicPr>
          <a:picLocks noChangeAspect="1"/>
        </xdr:cNvPicPr>
      </xdr:nvPicPr>
      <xdr:blipFill>
        <a:blip xmlns:r="http://schemas.openxmlformats.org/officeDocument/2006/relationships" r:embed="rId13"/>
        <a:stretch>
          <a:fillRect/>
        </a:stretch>
      </xdr:blipFill>
      <xdr:spPr>
        <a:xfrm>
          <a:off x="6998249" y="208176091"/>
          <a:ext cx="3303040" cy="2620839"/>
        </a:xfrm>
        <a:prstGeom prst="rect">
          <a:avLst/>
        </a:prstGeom>
      </xdr:spPr>
    </xdr:pic>
    <xdr:clientData/>
  </xdr:twoCellAnchor>
  <xdr:twoCellAnchor editAs="oneCell">
    <xdr:from>
      <xdr:col>3</xdr:col>
      <xdr:colOff>721177</xdr:colOff>
      <xdr:row>561</xdr:row>
      <xdr:rowOff>112031</xdr:rowOff>
    </xdr:from>
    <xdr:to>
      <xdr:col>6</xdr:col>
      <xdr:colOff>1046902</xdr:colOff>
      <xdr:row>566</xdr:row>
      <xdr:rowOff>186416</xdr:rowOff>
    </xdr:to>
    <xdr:pic>
      <xdr:nvPicPr>
        <xdr:cNvPr id="16" name="Picture 15">
          <a:extLst>
            <a:ext uri="{FF2B5EF4-FFF2-40B4-BE49-F238E27FC236}">
              <a16:creationId xmlns:a16="http://schemas.microsoft.com/office/drawing/2014/main" id="{D89709F2-7B64-4E39-8590-D3E8CED3130C}"/>
            </a:ext>
          </a:extLst>
        </xdr:cNvPr>
        <xdr:cNvPicPr>
          <a:picLocks noChangeAspect="1"/>
        </xdr:cNvPicPr>
      </xdr:nvPicPr>
      <xdr:blipFill>
        <a:blip xmlns:r="http://schemas.openxmlformats.org/officeDocument/2006/relationships" r:embed="rId14"/>
        <a:stretch>
          <a:fillRect/>
        </a:stretch>
      </xdr:blipFill>
      <xdr:spPr>
        <a:xfrm>
          <a:off x="7824106" y="124685424"/>
          <a:ext cx="5198987" cy="1017361"/>
        </a:xfrm>
        <a:prstGeom prst="rect">
          <a:avLst/>
        </a:prstGeom>
      </xdr:spPr>
    </xdr:pic>
    <xdr:clientData/>
  </xdr:twoCellAnchor>
  <xdr:twoCellAnchor>
    <xdr:from>
      <xdr:col>0</xdr:col>
      <xdr:colOff>44450</xdr:colOff>
      <xdr:row>113</xdr:row>
      <xdr:rowOff>44451</xdr:rowOff>
    </xdr:from>
    <xdr:to>
      <xdr:col>3</xdr:col>
      <xdr:colOff>827264</xdr:colOff>
      <xdr:row>132</xdr:row>
      <xdr:rowOff>112135</xdr:rowOff>
    </xdr:to>
    <xdr:grpSp>
      <xdr:nvGrpSpPr>
        <xdr:cNvPr id="26" name="Group 25">
          <a:extLst>
            <a:ext uri="{FF2B5EF4-FFF2-40B4-BE49-F238E27FC236}">
              <a16:creationId xmlns:a16="http://schemas.microsoft.com/office/drawing/2014/main" id="{16614CAB-DACE-4DF5-AE54-6B3E2731ADCF}"/>
            </a:ext>
          </a:extLst>
        </xdr:cNvPr>
        <xdr:cNvGrpSpPr/>
      </xdr:nvGrpSpPr>
      <xdr:grpSpPr>
        <a:xfrm>
          <a:off x="44450" y="29720118"/>
          <a:ext cx="7863064" cy="5518100"/>
          <a:chOff x="0" y="25222201"/>
          <a:chExt cx="4183239" cy="3684009"/>
        </a:xfrm>
      </xdr:grpSpPr>
      <xdr:pic>
        <xdr:nvPicPr>
          <xdr:cNvPr id="27" name="Picture 26">
            <a:extLst>
              <a:ext uri="{FF2B5EF4-FFF2-40B4-BE49-F238E27FC236}">
                <a16:creationId xmlns:a16="http://schemas.microsoft.com/office/drawing/2014/main" id="{4C4064CB-6A83-479F-BD76-00700241F2A2}"/>
              </a:ext>
            </a:extLst>
          </xdr:cNvPr>
          <xdr:cNvPicPr>
            <a:picLocks noChangeAspect="1"/>
          </xdr:cNvPicPr>
        </xdr:nvPicPr>
        <xdr:blipFill>
          <a:blip xmlns:r="http://schemas.openxmlformats.org/officeDocument/2006/relationships" r:embed="rId15"/>
          <a:stretch>
            <a:fillRect/>
          </a:stretch>
        </xdr:blipFill>
        <xdr:spPr>
          <a:xfrm>
            <a:off x="0" y="25222201"/>
            <a:ext cx="4172795" cy="1220256"/>
          </a:xfrm>
          <a:prstGeom prst="rect">
            <a:avLst/>
          </a:prstGeom>
        </xdr:spPr>
      </xdr:pic>
      <xdr:pic>
        <xdr:nvPicPr>
          <xdr:cNvPr id="28" name="Picture 27">
            <a:extLst>
              <a:ext uri="{FF2B5EF4-FFF2-40B4-BE49-F238E27FC236}">
                <a16:creationId xmlns:a16="http://schemas.microsoft.com/office/drawing/2014/main" id="{498902E3-C7AA-4A88-890A-4689295B686F}"/>
              </a:ext>
            </a:extLst>
          </xdr:cNvPr>
          <xdr:cNvPicPr>
            <a:picLocks noChangeAspect="1"/>
          </xdr:cNvPicPr>
        </xdr:nvPicPr>
        <xdr:blipFill>
          <a:blip xmlns:r="http://schemas.openxmlformats.org/officeDocument/2006/relationships" r:embed="rId16"/>
          <a:stretch>
            <a:fillRect/>
          </a:stretch>
        </xdr:blipFill>
        <xdr:spPr>
          <a:xfrm>
            <a:off x="0" y="26419879"/>
            <a:ext cx="4183239" cy="2486331"/>
          </a:xfrm>
          <a:prstGeom prst="rect">
            <a:avLst/>
          </a:prstGeom>
        </xdr:spPr>
      </xdr:pic>
    </xdr:grpSp>
    <xdr:clientData/>
  </xdr:twoCellAnchor>
  <xdr:twoCellAnchor editAs="oneCell">
    <xdr:from>
      <xdr:col>2</xdr:col>
      <xdr:colOff>1028700</xdr:colOff>
      <xdr:row>1145</xdr:row>
      <xdr:rowOff>104775</xdr:rowOff>
    </xdr:from>
    <xdr:to>
      <xdr:col>6</xdr:col>
      <xdr:colOff>231292</xdr:colOff>
      <xdr:row>1159</xdr:row>
      <xdr:rowOff>136525</xdr:rowOff>
    </xdr:to>
    <xdr:pic>
      <xdr:nvPicPr>
        <xdr:cNvPr id="35" name="Picture 34">
          <a:extLst>
            <a:ext uri="{FF2B5EF4-FFF2-40B4-BE49-F238E27FC236}">
              <a16:creationId xmlns:a16="http://schemas.microsoft.com/office/drawing/2014/main" id="{65D98572-3266-FC96-955F-9B15A5F6071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105400" y="209892900"/>
          <a:ext cx="5934075"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228974</xdr:colOff>
      <xdr:row>1145</xdr:row>
      <xdr:rowOff>144182</xdr:rowOff>
    </xdr:from>
    <xdr:to>
      <xdr:col>2</xdr:col>
      <xdr:colOff>461737</xdr:colOff>
      <xdr:row>1159</xdr:row>
      <xdr:rowOff>15499</xdr:rowOff>
    </xdr:to>
    <xdr:pic>
      <xdr:nvPicPr>
        <xdr:cNvPr id="36" name="Picture 35">
          <a:extLst>
            <a:ext uri="{FF2B5EF4-FFF2-40B4-BE49-F238E27FC236}">
              <a16:creationId xmlns:a16="http://schemas.microsoft.com/office/drawing/2014/main" id="{18F159AF-06DF-771C-5E6E-F3D37600654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8974" y="255078006"/>
          <a:ext cx="5710945" cy="267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181328</xdr:colOff>
      <xdr:row>280</xdr:row>
      <xdr:rowOff>68791</xdr:rowOff>
    </xdr:from>
    <xdr:to>
      <xdr:col>2</xdr:col>
      <xdr:colOff>663102</xdr:colOff>
      <xdr:row>315</xdr:row>
      <xdr:rowOff>151435</xdr:rowOff>
    </xdr:to>
    <xdr:pic>
      <xdr:nvPicPr>
        <xdr:cNvPr id="2" name="Picture 1">
          <a:extLst>
            <a:ext uri="{FF2B5EF4-FFF2-40B4-BE49-F238E27FC236}">
              <a16:creationId xmlns:a16="http://schemas.microsoft.com/office/drawing/2014/main" id="{12375FB3-603B-49B4-AA38-B6205EEBB22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81328" y="67788013"/>
          <a:ext cx="5938510" cy="7244033"/>
        </a:xfrm>
        <a:prstGeom prst="rect">
          <a:avLst/>
        </a:prstGeom>
      </xdr:spPr>
    </xdr:pic>
    <xdr:clientData/>
  </xdr:twoCellAnchor>
  <xdr:twoCellAnchor editAs="oneCell">
    <xdr:from>
      <xdr:col>3</xdr:col>
      <xdr:colOff>762000</xdr:colOff>
      <xdr:row>279</xdr:row>
      <xdr:rowOff>174625</xdr:rowOff>
    </xdr:from>
    <xdr:to>
      <xdr:col>8</xdr:col>
      <xdr:colOff>626054</xdr:colOff>
      <xdr:row>312</xdr:row>
      <xdr:rowOff>52388</xdr:rowOff>
    </xdr:to>
    <xdr:pic>
      <xdr:nvPicPr>
        <xdr:cNvPr id="4" name="Picture 3">
          <a:extLst>
            <a:ext uri="{FF2B5EF4-FFF2-40B4-BE49-F238E27FC236}">
              <a16:creationId xmlns:a16="http://schemas.microsoft.com/office/drawing/2014/main" id="{A7185702-7513-45A8-B4E1-163D0032C07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53350" y="141811375"/>
          <a:ext cx="7244292" cy="6157915"/>
        </a:xfrm>
        <a:prstGeom prst="rect">
          <a:avLst/>
        </a:prstGeom>
      </xdr:spPr>
    </xdr:pic>
    <xdr:clientData/>
  </xdr:twoCellAnchor>
  <xdr:twoCellAnchor editAs="oneCell">
    <xdr:from>
      <xdr:col>0</xdr:col>
      <xdr:colOff>471108</xdr:colOff>
      <xdr:row>622</xdr:row>
      <xdr:rowOff>0</xdr:rowOff>
    </xdr:from>
    <xdr:to>
      <xdr:col>2</xdr:col>
      <xdr:colOff>663102</xdr:colOff>
      <xdr:row>629</xdr:row>
      <xdr:rowOff>167085</xdr:rowOff>
    </xdr:to>
    <xdr:pic>
      <xdr:nvPicPr>
        <xdr:cNvPr id="5" name="Picture 4">
          <a:extLst>
            <a:ext uri="{FF2B5EF4-FFF2-40B4-BE49-F238E27FC236}">
              <a16:creationId xmlns:a16="http://schemas.microsoft.com/office/drawing/2014/main" id="{3AB48046-FFAE-463A-8E2B-ED572EACB4B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71108" y="144981706"/>
          <a:ext cx="5682876" cy="2151087"/>
        </a:xfrm>
        <a:prstGeom prst="rect">
          <a:avLst/>
        </a:prstGeom>
      </xdr:spPr>
    </xdr:pic>
    <xdr:clientData/>
  </xdr:twoCellAnchor>
  <xdr:twoCellAnchor editAs="oneCell">
    <xdr:from>
      <xdr:col>11</xdr:col>
      <xdr:colOff>252272</xdr:colOff>
      <xdr:row>675</xdr:row>
      <xdr:rowOff>0</xdr:rowOff>
    </xdr:from>
    <xdr:to>
      <xdr:col>16</xdr:col>
      <xdr:colOff>1160531</xdr:colOff>
      <xdr:row>701</xdr:row>
      <xdr:rowOff>102028</xdr:rowOff>
    </xdr:to>
    <xdr:pic>
      <xdr:nvPicPr>
        <xdr:cNvPr id="12" name="Grafik 11">
          <a:extLst>
            <a:ext uri="{FF2B5EF4-FFF2-40B4-BE49-F238E27FC236}">
              <a16:creationId xmlns:a16="http://schemas.microsoft.com/office/drawing/2014/main" id="{8D407922-2751-C233-9E1F-F30564F8D663}"/>
            </a:ext>
          </a:extLst>
        </xdr:cNvPr>
        <xdr:cNvPicPr>
          <a:picLocks noChangeAspect="1"/>
        </xdr:cNvPicPr>
      </xdr:nvPicPr>
      <xdr:blipFill>
        <a:blip xmlns:r="http://schemas.openxmlformats.org/officeDocument/2006/relationships" r:embed="rId20"/>
        <a:stretch>
          <a:fillRect/>
        </a:stretch>
      </xdr:blipFill>
      <xdr:spPr>
        <a:xfrm>
          <a:off x="15656625" y="159639000"/>
          <a:ext cx="7203375" cy="7087026"/>
        </a:xfrm>
        <a:prstGeom prst="rect">
          <a:avLst/>
        </a:prstGeom>
      </xdr:spPr>
    </xdr:pic>
    <xdr:clientData/>
  </xdr:twoCellAnchor>
  <xdr:twoCellAnchor editAs="oneCell">
    <xdr:from>
      <xdr:col>10</xdr:col>
      <xdr:colOff>0</xdr:colOff>
      <xdr:row>280</xdr:row>
      <xdr:rowOff>0</xdr:rowOff>
    </xdr:from>
    <xdr:to>
      <xdr:col>15</xdr:col>
      <xdr:colOff>798428</xdr:colOff>
      <xdr:row>293</xdr:row>
      <xdr:rowOff>174626</xdr:rowOff>
    </xdr:to>
    <xdr:pic>
      <xdr:nvPicPr>
        <xdr:cNvPr id="14" name="Grafik 13">
          <a:extLst>
            <a:ext uri="{FF2B5EF4-FFF2-40B4-BE49-F238E27FC236}">
              <a16:creationId xmlns:a16="http://schemas.microsoft.com/office/drawing/2014/main" id="{E7E213EA-440B-457E-A107-20C464CED7D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928353" y="68572529"/>
          <a:ext cx="7124141" cy="279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52295</xdr:colOff>
      <xdr:row>295</xdr:row>
      <xdr:rowOff>156881</xdr:rowOff>
    </xdr:from>
    <xdr:to>
      <xdr:col>15</xdr:col>
      <xdr:colOff>1063447</xdr:colOff>
      <xdr:row>306</xdr:row>
      <xdr:rowOff>129802</xdr:rowOff>
    </xdr:to>
    <xdr:pic>
      <xdr:nvPicPr>
        <xdr:cNvPr id="15" name="Grafik 14">
          <a:extLst>
            <a:ext uri="{FF2B5EF4-FFF2-40B4-BE49-F238E27FC236}">
              <a16:creationId xmlns:a16="http://schemas.microsoft.com/office/drawing/2014/main" id="{6377D5CE-836C-486E-B933-F3E0763A856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6980648" y="71754999"/>
          <a:ext cx="7336865" cy="218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35719</xdr:colOff>
      <xdr:row>788</xdr:row>
      <xdr:rowOff>166688</xdr:rowOff>
    </xdr:from>
    <xdr:to>
      <xdr:col>3</xdr:col>
      <xdr:colOff>1407211</xdr:colOff>
      <xdr:row>799</xdr:row>
      <xdr:rowOff>15386</xdr:rowOff>
    </xdr:to>
    <xdr:pic>
      <xdr:nvPicPr>
        <xdr:cNvPr id="2" name="Picture 1">
          <a:extLst>
            <a:ext uri="{FF2B5EF4-FFF2-40B4-BE49-F238E27FC236}">
              <a16:creationId xmlns:a16="http://schemas.microsoft.com/office/drawing/2014/main" id="{2FC9BEA3-E181-4D07-85D0-CC5890FB7E23}"/>
            </a:ext>
          </a:extLst>
        </xdr:cNvPr>
        <xdr:cNvPicPr>
          <a:picLocks noChangeAspect="1"/>
        </xdr:cNvPicPr>
      </xdr:nvPicPr>
      <xdr:blipFill>
        <a:blip xmlns:r="http://schemas.openxmlformats.org/officeDocument/2006/relationships" r:embed="rId1"/>
        <a:stretch>
          <a:fillRect/>
        </a:stretch>
      </xdr:blipFill>
      <xdr:spPr>
        <a:xfrm>
          <a:off x="2778919" y="26655713"/>
          <a:ext cx="3673367" cy="15913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500530</xdr:colOff>
      <xdr:row>75</xdr:row>
      <xdr:rowOff>7470</xdr:rowOff>
    </xdr:from>
    <xdr:to>
      <xdr:col>47</xdr:col>
      <xdr:colOff>361369</xdr:colOff>
      <xdr:row>124</xdr:row>
      <xdr:rowOff>146426</xdr:rowOff>
    </xdr:to>
    <xdr:pic>
      <xdr:nvPicPr>
        <xdr:cNvPr id="2" name="Grafik 1">
          <a:extLst>
            <a:ext uri="{FF2B5EF4-FFF2-40B4-BE49-F238E27FC236}">
              <a16:creationId xmlns:a16="http://schemas.microsoft.com/office/drawing/2014/main" id="{AFE8753E-D1BC-743D-D633-0BB797542043}"/>
            </a:ext>
          </a:extLst>
        </xdr:cNvPr>
        <xdr:cNvPicPr>
          <a:picLocks noChangeAspect="1"/>
        </xdr:cNvPicPr>
      </xdr:nvPicPr>
      <xdr:blipFill>
        <a:blip xmlns:r="http://schemas.openxmlformats.org/officeDocument/2006/relationships" r:embed="rId1"/>
        <a:stretch>
          <a:fillRect/>
        </a:stretch>
      </xdr:blipFill>
      <xdr:spPr>
        <a:xfrm>
          <a:off x="24533412" y="19976352"/>
          <a:ext cx="27950251" cy="12117491"/>
        </a:xfrm>
        <a:prstGeom prst="rect">
          <a:avLst/>
        </a:prstGeom>
      </xdr:spPr>
    </xdr:pic>
    <xdr:clientData/>
  </xdr:twoCellAnchor>
  <xdr:twoCellAnchor editAs="oneCell">
    <xdr:from>
      <xdr:col>14</xdr:col>
      <xdr:colOff>0</xdr:colOff>
      <xdr:row>46</xdr:row>
      <xdr:rowOff>0</xdr:rowOff>
    </xdr:from>
    <xdr:to>
      <xdr:col>18</xdr:col>
      <xdr:colOff>173320</xdr:colOff>
      <xdr:row>67</xdr:row>
      <xdr:rowOff>26541</xdr:rowOff>
    </xdr:to>
    <xdr:pic>
      <xdr:nvPicPr>
        <xdr:cNvPr id="3" name="Grafik 2">
          <a:extLst>
            <a:ext uri="{FF2B5EF4-FFF2-40B4-BE49-F238E27FC236}">
              <a16:creationId xmlns:a16="http://schemas.microsoft.com/office/drawing/2014/main" id="{059E41A0-295A-505D-1A6C-7D4AB4DFC1CA}"/>
            </a:ext>
          </a:extLst>
        </xdr:cNvPr>
        <xdr:cNvPicPr>
          <a:picLocks noChangeAspect="1"/>
        </xdr:cNvPicPr>
      </xdr:nvPicPr>
      <xdr:blipFill>
        <a:blip xmlns:r="http://schemas.openxmlformats.org/officeDocument/2006/relationships" r:embed="rId2"/>
        <a:stretch>
          <a:fillRect/>
        </a:stretch>
      </xdr:blipFill>
      <xdr:spPr>
        <a:xfrm>
          <a:off x="22938441" y="13234147"/>
          <a:ext cx="5372850" cy="55062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12</xdr:col>
      <xdr:colOff>67688</xdr:colOff>
      <xdr:row>39</xdr:row>
      <xdr:rowOff>67704</xdr:rowOff>
    </xdr:to>
    <xdr:pic>
      <xdr:nvPicPr>
        <xdr:cNvPr id="3" name="Picture 2">
          <a:extLst>
            <a:ext uri="{FF2B5EF4-FFF2-40B4-BE49-F238E27FC236}">
              <a16:creationId xmlns:a16="http://schemas.microsoft.com/office/drawing/2014/main" id="{87C74B36-4648-4240-921B-1D97687105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 y="123825"/>
          <a:ext cx="7259063" cy="7373379"/>
        </a:xfrm>
        <a:prstGeom prst="rect">
          <a:avLst/>
        </a:prstGeom>
        <a:ln>
          <a:solidFill>
            <a:sysClr val="windowText" lastClr="000000"/>
          </a:solidFill>
        </a:ln>
      </xdr:spPr>
    </xdr:pic>
    <xdr:clientData/>
  </xdr:twoCellAnchor>
  <xdr:twoCellAnchor editAs="oneCell">
    <xdr:from>
      <xdr:col>12</xdr:col>
      <xdr:colOff>247650</xdr:colOff>
      <xdr:row>0</xdr:row>
      <xdr:rowOff>114300</xdr:rowOff>
    </xdr:from>
    <xdr:to>
      <xdr:col>24</xdr:col>
      <xdr:colOff>324882</xdr:colOff>
      <xdr:row>36</xdr:row>
      <xdr:rowOff>115257</xdr:rowOff>
    </xdr:to>
    <xdr:pic>
      <xdr:nvPicPr>
        <xdr:cNvPr id="5" name="Picture 4">
          <a:extLst>
            <a:ext uri="{FF2B5EF4-FFF2-40B4-BE49-F238E27FC236}">
              <a16:creationId xmlns:a16="http://schemas.microsoft.com/office/drawing/2014/main" id="{CDEB9FD4-2FEC-40B7-BA8C-722514EB9E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62850" y="114300"/>
          <a:ext cx="7392432" cy="6858957"/>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ffb202c9cb45fe1f/Jackson%20Family%20Wines/2018%20Emissions/2018%20JFW%20GHG%20Inventory%201.9.2020%20-%20JP%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shortcut-targets-by-id/1Bzu7_HauN_6OAPe7RSaUCTpP6jwoN53y/Barzman%20Work/Yealands/NZ%20-Emissions-Factors-Workbook-final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ortcut-targets-by-id/1Bzu7_HauN_6OAPe7RSaUCTpP6jwoN53y/Barzman%20Work/Yealands/NZ%20-Emissions-Factors-Workbook-final_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acksonfamilyenterprises-my.sharepoint.com/Users/prigg/Desktop/Jackson%20Family%20Wines/2017%20Ship%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jacksonfamilyenterprises.sharepoint.com/Users/prigg/Desktop/Jackson%20Family%20Wines/2017%20Ship%20Re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acksonfamilyenterprises-my.sharepoint.com/Users/prigg/Desktop/BlackRock/2018_conversion_factors_2018_-_full_set__for_advanced_users__v0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jacksonfamilyenterprises.sharepoint.com/Users/prigg/Desktop/BlackRock/2018_conversion_factors_2018_-_full_set__for_advanced_users__v0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 Emissions Table"/>
      <sheetName val="Typical Winery Emissions"/>
      <sheetName val="Visual Emissions Breakdown"/>
      <sheetName val="Graphic"/>
      <sheetName val="Summary"/>
      <sheetName val="Stationary"/>
      <sheetName val="Mobile"/>
      <sheetName val="Fugitive (refrigerants)"/>
      <sheetName val="Wastewater"/>
      <sheetName val="Electricity"/>
      <sheetName val="Fertilizer Production"/>
      <sheetName val="Product Transport"/>
      <sheetName val="Packaging"/>
      <sheetName val="Off-Site Waste"/>
      <sheetName val="Business Travel"/>
      <sheetName val="Vineyard Soil Emissions"/>
      <sheetName val="Employee Commute"/>
      <sheetName val="Winemaking"/>
      <sheetName val="Purchased Wine Products"/>
      <sheetName val="Procurement"/>
      <sheetName val="Tasting Room Traffic"/>
      <sheetName val="Compost Application"/>
      <sheetName val="Biomass Burning"/>
      <sheetName val="Municipal Water"/>
      <sheetName val="Post Consumer Waste"/>
      <sheetName val="Land Conversion"/>
      <sheetName val="Vineyard - Row Cropping"/>
      <sheetName val="Vineyard - Biomass Photosynth"/>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Fuel 2020"/>
      <sheetName val="T&amp;D losses 2020"/>
      <sheetName val="Purchased energy 2020"/>
      <sheetName val="2020 Working from home"/>
      <sheetName val="Refrigerant &amp; Other 2020"/>
      <sheetName val="Travel 2020"/>
      <sheetName val="Freight transport 2020"/>
      <sheetName val="Water supply and wastewater2020"/>
      <sheetName val="Materials 2020"/>
      <sheetName val="Waste 2020"/>
      <sheetName val="Agriculture forestry other 202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Fuel 2020"/>
      <sheetName val="T&amp;D losses 2020"/>
      <sheetName val="Purchased energy 2020"/>
      <sheetName val="2020 Working from home"/>
      <sheetName val="Refrigerant &amp; Other 2020"/>
      <sheetName val="Travel 2020"/>
      <sheetName val="Freight transport 2020"/>
      <sheetName val="Water supply and wastewater2020"/>
      <sheetName val="Materials 2020"/>
      <sheetName val="Waste 2020"/>
      <sheetName val="Agriculture forestry other 2020"/>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017"/>
      <sheetName val="2017"/>
      <sheetName val="State Distance"/>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017"/>
      <sheetName val="2017"/>
      <sheetName val="State Distance"/>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Delivery vehicles"/>
      <sheetName val="UK electricity"/>
      <sheetName val="Overseas electricity"/>
      <sheetName val="UK electricity for EVs"/>
      <sheetName val="Heat and steam"/>
      <sheetName val="WTT- fuels"/>
      <sheetName val="WTT- bioenergy"/>
      <sheetName val="Transmission and distribution"/>
      <sheetName val="UK electricity T&amp;D for EVs"/>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WTT- pass vehs &amp; travel- land"/>
      <sheetName val="Freighting goods"/>
      <sheetName val="WTT- delivery vehs &amp; freight"/>
      <sheetName val="Hotel stay"/>
      <sheetName val="Managed assets- electricity"/>
      <sheetName val="Managed assets- vehicles"/>
      <sheetName val="Outside of scopes"/>
      <sheetName val="Conversions"/>
      <sheetName val="Fuel prope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What's new"/>
      <sheetName val="Index"/>
      <sheetName val="Fuels"/>
      <sheetName val="Bioenergy"/>
      <sheetName val="Refrigerant &amp; other"/>
      <sheetName val="Passenger vehicles"/>
      <sheetName val="Delivery vehicles"/>
      <sheetName val="UK electricity"/>
      <sheetName val="Overseas electricity"/>
      <sheetName val="UK electricity for EVs"/>
      <sheetName val="Heat and steam"/>
      <sheetName val="WTT- fuels"/>
      <sheetName val="WTT- bioenergy"/>
      <sheetName val="Transmission and distribution"/>
      <sheetName val="UK electricity T&amp;D for EVs"/>
      <sheetName val="WTT- UK &amp; overseas elec"/>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WTT- pass vehs &amp; travel- land"/>
      <sheetName val="Freighting goods"/>
      <sheetName val="WTT- delivery vehs &amp; freight"/>
      <sheetName val="Hotel stay"/>
      <sheetName val="Managed assets- electricity"/>
      <sheetName val="Managed assets- vehicles"/>
      <sheetName val="Outside of scopes"/>
      <sheetName val="Conversions"/>
      <sheetName val="Fuel proper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persons/person.xml><?xml version="1.0" encoding="utf-8"?>
<personList xmlns="http://schemas.microsoft.com/office/spreadsheetml/2018/threadedcomments" xmlns:x="http://schemas.openxmlformats.org/spreadsheetml/2006/main">
  <person displayName="Paul Lardon" id="{C315E68F-F2B8-459C-ADF7-5885F2EEA482}" userId="Paul Lardon" providerId="None"/>
  <person displayName="Matthias Zaussinger" id="{85FAB990-B36F-4EF7-902E-C3366057CF75}" userId="m.zaussinger@terra-institute.eu" providerId="PeoplePicker"/>
  <person displayName="Matthias Zaussinger" id="{60868714-F3AE-412E-9257-19A5A755647F}" userId="S::m.zaussinger@terra-institute.eu::5039e38f-241a-4ba7-8910-da3e753c8dc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3E13C39-10EE-4E2B-8A2E-CA7718B09AF7}" name="Table15" displayName="Table15" ref="B1:G136" totalsRowShown="0" headerRowDxfId="104" dataDxfId="103" tableBorderDxfId="102">
  <autoFilter ref="B1:G136" xr:uid="{B4F55D68-B225-4784-8F05-DC693CCA0EBE}"/>
  <tableColumns count="6">
    <tableColumn id="1" xr3:uid="{DFB96634-7F59-43BE-937E-6F54FCB0BAE4}" name="Scope" dataDxfId="101"/>
    <tableColumn id="2" xr3:uid="{B3A62E1D-8152-4D86-8A36-F2F0F0C465F9}" name="GHG Protocol Category" dataDxfId="100"/>
    <tableColumn id="5" xr3:uid="{F9EFE90C-3897-467D-848C-C2108305F433}" name="ISO 14064-1:2018 Category*_x000a_(see Notes below table)" dataDxfId="99"/>
    <tableColumn id="4" xr3:uid="{C1C2AAA5-B302-477C-B014-E46B7E0EC734}" name="Activity" dataDxfId="98"/>
    <tableColumn id="11" xr3:uid="{8DED2144-BF45-4B1A-8B9B-0EEA4ED60F18}" name="CO2mte" dataDxfId="97"/>
    <tableColumn id="3" xr3:uid="{1F37E4EB-68C7-414D-984A-D33769F124EB}" name="% of Total Scope 1-3^_x000a_(see Notes below table)" dataDxfId="9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91F7432-498D-413C-B14F-94BF0F6D4A61}" name="Table4" displayName="Table4" ref="A1165:C1175" totalsRowShown="0" headerRowDxfId="95" headerRowBorderDxfId="94" tableBorderDxfId="93">
  <autoFilter ref="A1165:C1175" xr:uid="{791F7432-498D-413C-B14F-94BF0F6D4A61}"/>
  <tableColumns count="3">
    <tableColumn id="4" xr3:uid="{83765045-2E6E-4306-BDCC-A45C36B6F4A6}" name="Material name" dataDxfId="92"/>
    <tableColumn id="5" xr3:uid="{72DC33E4-B79C-41C0-9CD0-2A4FA41B06A5}" name="ecoinvent 3.10 Database search" dataDxfId="91"/>
    <tableColumn id="1" xr3:uid="{C021770B-581E-4DC4-95EE-CDB1EE876B35}" name="kgCO2e/kg" dataDxfId="9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03111F-E502-4AE5-8AC2-831D5CDA9733}" name="Table1" displayName="Table1" ref="A1178:C1184" totalsRowShown="0" dataDxfId="89">
  <autoFilter ref="A1178:C1184" xr:uid="{7A03111F-E502-4AE5-8AC2-831D5CDA9733}"/>
  <tableColumns count="3">
    <tableColumn id="1" xr3:uid="{3172E51C-BC36-4E42-B29F-8B2457289B5E}" name="Name" dataDxfId="88"/>
    <tableColumn id="6" xr3:uid="{0E4993DA-7510-4349-96E4-311467596172}" name="GLO/RoW ecoinvent 3.10" dataDxfId="87"/>
    <tableColumn id="2" xr3:uid="{48D011F4-4C06-4CB1-92AF-BAA6DDB07950}" name="kgCO2e/kg2" dataDxfId="8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1DE0308-A112-459E-8B81-26D24C25BAAF}" name="Table2" displayName="Table2" ref="A1186:D1187" totalsRowShown="0" headerRowDxfId="85">
  <autoFilter ref="A1186:D1187" xr:uid="{51DE0308-A112-459E-8B81-26D24C25BAAF}"/>
  <tableColumns count="4">
    <tableColumn id="1" xr3:uid="{B8D8AAF5-B3BB-42A0-B18F-45B3F129337C}" name="Name" dataDxfId="84"/>
    <tableColumn id="5" xr3:uid="{825A91BE-C495-4612-AAFC-DF34E10977C9}" name="EF source" dataDxfId="83"/>
    <tableColumn id="6" xr3:uid="{B6A18FB0-781C-4444-BF32-4F094632CABA}" name="kgCO2-E/ton" dataDxfId="82"/>
    <tableColumn id="7" xr3:uid="{C0D9BF7F-CD0A-47A7-930B-C49014E57ACC}" name="kgCO2e/kg" dataDxfId="81">
      <calculatedColumnFormula>C1187*0.00110231</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D31F097-EF63-4549-9833-8DA6812A344C}" name="Table47" displayName="Table47" ref="A1153:C1162" totalsRowShown="0" headerRowDxfId="80" headerRowBorderDxfId="79" tableBorderDxfId="78">
  <autoFilter ref="A1153:C1162" xr:uid="{791F7432-498D-413C-B14F-94BF0F6D4A61}"/>
  <tableColumns count="3">
    <tableColumn id="4" xr3:uid="{A38EB0A7-AA87-4AA8-99CE-B548AF7317EE}" name="Material name" dataDxfId="77"/>
    <tableColumn id="5" xr3:uid="{96A428B1-6F65-4342-8DF0-9398D6280819}" name="ecoinvent 3.9 Database search" dataDxfId="76"/>
    <tableColumn id="1" xr3:uid="{59938142-5E76-47A4-B5D1-C3B0054900D4}" name="kgCO2e/kg" dataDxfId="75"/>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2D7489B-CA5F-4478-B486-CA6AA8E2CA6C}" name="Table18" displayName="Table18" ref="A1166:C1171" totalsRowShown="0" dataDxfId="74">
  <autoFilter ref="A1166:C1171" xr:uid="{7A03111F-E502-4AE5-8AC2-831D5CDA9733}"/>
  <tableColumns count="3">
    <tableColumn id="1" xr3:uid="{F30C5096-2E12-455F-A39D-B16FE09E6674}" name="Name" dataDxfId="73"/>
    <tableColumn id="6" xr3:uid="{0D086184-F755-4FD0-9C7A-15C1DC93F120}" name="GLO/RoW ecoinvent 3.9.1" dataDxfId="72"/>
    <tableColumn id="2" xr3:uid="{5E99DBC3-37E0-4531-A525-609182EEF395}" name="kgCO2e/kg2" dataDxfId="7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E7A4764-974D-4325-93DA-1FC263ED4DB6}" name="Table29" displayName="Table29" ref="A1173:D1174" totalsRowShown="0" headerRowDxfId="70">
  <autoFilter ref="A1173:D1174" xr:uid="{51DE0308-A112-459E-8B81-26D24C25BAAF}"/>
  <tableColumns count="4">
    <tableColumn id="1" xr3:uid="{64806CFD-D06F-4828-AF9C-E560EA3AA07B}" name="Name" dataDxfId="69"/>
    <tableColumn id="5" xr3:uid="{516F10C6-5210-4ABD-957D-EF5F3A1704DA}" name="EF source" dataDxfId="68"/>
    <tableColumn id="6" xr3:uid="{A7E79D41-DD31-4E11-956E-26CA44FF652C}" name="kgCO2-E/ton" dataDxfId="67"/>
    <tableColumn id="7" xr3:uid="{9F6F20E8-7ADE-45B0-AEE3-7F483BCD7C7C}" name="kgCO2e/kg" dataDxfId="66">
      <calculatedColumnFormula>C1174*0.00110231</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89" dT="2024-03-26T15:22:55.11" personId="{C315E68F-F2B8-459C-ADF7-5885F2EEA482}" id="{3B28C5EA-9848-40A3-B9FD-49B410053D9A}">
    <text xml:space="preserve">@Matthias Zaussinger mit welchen Werten wird hier das Ergebnis verglichen und wieso ist es um Faktor 20 höher? </text>
    <mentions>
      <mention mentionpersonId="{85FAB990-B36F-4EF7-902E-C3366057CF75}" mentionId="{7ED9F865-C076-4EFB-879C-E0C512664DB5}" startIndex="0" length="20"/>
    </mentions>
  </threadedComment>
  <threadedComment ref="K189" dT="2024-03-26T15:27:07.91" personId="{60868714-F3AE-412E-9257-19A5A755647F}" id="{FEFF7C83-E8F5-4BF2-B272-718CCADDC7C9}" parentId="{3B28C5EA-9848-40A3-B9FD-49B410053D9A}">
    <text xml:space="preserve">Das sind durchschnittswerte, die schon im Tool eingepflegt waren
</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B066264B-516E-4F33-8A5A-4EE1D0CDAB03}">
  <we:reference id="wa104381504" version="1.0.0.0" store="de-DE" storeType="OMEX"/>
  <we:alternateReferences>
    <we:reference id="wa104381504" version="1.0.0.0" store="WA104381504" storeType="OMEX"/>
  </we:alternateReferences>
  <we:properties/>
  <we:bindings/>
  <we:snapshot xmlns:r="http://schemas.openxmlformats.org/officeDocument/2006/relationships"/>
  <we:extLst>
    <a:ext xmlns:a="http://schemas.openxmlformats.org/drawingml/2006/main" uri="{D87F86FE-615C-45B5-9D79-34F1136793EB}">
      <we:containsCustomFunctions/>
    </a:ext>
  </we:extLst>
</we:webextension>
</file>

<file path=xl/worksheets/_rels/sheet1.xml.rels><?xml version="1.0" encoding="UTF-8" standalone="yes"?>
<Relationships xmlns="http://schemas.openxmlformats.org/package/2006/relationships"><Relationship Id="rId3" Type="http://schemas.openxmlformats.org/officeDocument/2006/relationships/hyperlink" Target="mailto:josh@sustridge.com?subject=IWCA%20Calculator%20Support" TargetMode="External"/><Relationship Id="rId7" Type="http://schemas.openxmlformats.org/officeDocument/2006/relationships/drawing" Target="../drawings/drawing1.xml"/><Relationship Id="rId2" Type="http://schemas.openxmlformats.org/officeDocument/2006/relationships/hyperlink" Target="https://www.lrqa.com/" TargetMode="External"/><Relationship Id="rId1" Type="http://schemas.openxmlformats.org/officeDocument/2006/relationships/hyperlink" Target="https://racetozero.unfccc.int/system/race-to-zero/" TargetMode="External"/><Relationship Id="rId6" Type="http://schemas.openxmlformats.org/officeDocument/2006/relationships/printerSettings" Target="../printerSettings/printerSettings1.bin"/><Relationship Id="rId5" Type="http://schemas.openxmlformats.org/officeDocument/2006/relationships/hyperlink" Target="https://www.iwcawine.org/" TargetMode="External"/><Relationship Id="rId4" Type="http://schemas.openxmlformats.org/officeDocument/2006/relationships/hyperlink" Target="https://www.sustridge.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ghgprotocol.org/sites/default/files/standards_supporting/Chapter1.pdf" TargetMode="External"/><Relationship Id="rId7" Type="http://schemas.openxmlformats.org/officeDocument/2006/relationships/hyperlink" Target="https://www.elgas.com.au/blog/1675-propane-conversion-values-pounds-gallons-btu-therms-ft-usa" TargetMode="External"/><Relationship Id="rId2" Type="http://schemas.openxmlformats.org/officeDocument/2006/relationships/hyperlink" Target="https://ghgprotocol.org/sites/default/files/standards_supporting/Chapter1.pdf" TargetMode="External"/><Relationship Id="rId1" Type="http://schemas.openxmlformats.org/officeDocument/2006/relationships/hyperlink" Target="https://quantis-suite.com/Scope-3-Evaluator/" TargetMode="External"/><Relationship Id="rId6" Type="http://schemas.openxmlformats.org/officeDocument/2006/relationships/hyperlink" Target="https://www.elgas.com.au/blog/1675-propane-conversion-values-pounds-gallons-btu-therms-ft-usa" TargetMode="External"/><Relationship Id="rId5" Type="http://schemas.openxmlformats.org/officeDocument/2006/relationships/hyperlink" Target="https://www.eia.gov/tools/faqs/faq.php?id=45&amp;t=8" TargetMode="External"/><Relationship Id="rId4" Type="http://schemas.openxmlformats.org/officeDocument/2006/relationships/hyperlink" Target="http://www.hooddistribution.com/product-weights/" TargetMode="External"/><Relationship Id="rId9"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3" Type="http://schemas.openxmlformats.org/officeDocument/2006/relationships/hyperlink" Target="https://www.globalpetrolprices.com/Chile/" TargetMode="External"/><Relationship Id="rId18" Type="http://schemas.openxmlformats.org/officeDocument/2006/relationships/hyperlink" Target="https://www.globalpetrolprices.com/Chile/" TargetMode="External"/><Relationship Id="rId26" Type="http://schemas.openxmlformats.org/officeDocument/2006/relationships/hyperlink" Target="https://www.climate-transparency.org/wp-content/uploads/2019/11/B2G_2019_Argentina.pdf" TargetMode="External"/><Relationship Id="rId3" Type="http://schemas.openxmlformats.org/officeDocument/2006/relationships/hyperlink" Target="https://www.ghgprotocol.org/sites/default/files/ghgp/Global-Warming-Potential-Values%20%28Feb%2016%202016%29_1.pdf" TargetMode="External"/><Relationship Id="rId21" Type="http://schemas.openxmlformats.org/officeDocument/2006/relationships/hyperlink" Target="https://ecoquery.ecoinvent.org/3.10/cutoff/dataset/23142/impact_assessment" TargetMode="External"/><Relationship Id="rId34" Type="http://schemas.openxmlformats.org/officeDocument/2006/relationships/table" Target="../tables/table6.xml"/><Relationship Id="rId7" Type="http://schemas.openxmlformats.org/officeDocument/2006/relationships/hyperlink" Target="http://www.ipw.co.za/content/pdfs/ghg/eng/International_Wine_Carbon_Calculator_Protocol_V1.2.pdf" TargetMode="External"/><Relationship Id="rId12" Type="http://schemas.openxmlformats.org/officeDocument/2006/relationships/hyperlink" Target="https://www.industry.gov.au/data-and-publications/national-greenhouse-accounts-factors-2021" TargetMode="External"/><Relationship Id="rId17" Type="http://schemas.openxmlformats.org/officeDocument/2006/relationships/hyperlink" Target="https://www.epa.gov/system/files/documents/2023-03/ghg_emission_factors_hub.pdf" TargetMode="External"/><Relationship Id="rId25" Type="http://schemas.openxmlformats.org/officeDocument/2006/relationships/hyperlink" Target="https://view.officeapps.live.com/op/view.aspx?src=https%3A%2F%2Fwww.iges.or.jp%2Fen%2Fpublication_documents%2Fpub%2Fdata%2Fen%2F1215%2FIGES_GRID_EF_v11.3_20231121.xlsx&amp;wdOrigin=BROWSELINK" TargetMode="External"/><Relationship Id="rId33" Type="http://schemas.openxmlformats.org/officeDocument/2006/relationships/table" Target="../tables/table5.xml"/><Relationship Id="rId2" Type="http://schemas.openxmlformats.org/officeDocument/2006/relationships/hyperlink" Target="https://www.eia.gov/tools/faqs/faq.php?id=82&amp;t=11" TargetMode="External"/><Relationship Id="rId16" Type="http://schemas.openxmlformats.org/officeDocument/2006/relationships/hyperlink" Target="https://ghgprotocol.org/calculation-tools" TargetMode="External"/><Relationship Id="rId20" Type="http://schemas.openxmlformats.org/officeDocument/2006/relationships/hyperlink" Target="https://www.ipcc-nggip.iges.or.jp/public/2006gl/pdf/2_Volume2/V2_2_Ch2_Stationary_Combustion.pdf" TargetMode="External"/><Relationship Id="rId29" Type="http://schemas.openxmlformats.org/officeDocument/2006/relationships/hyperlink" Target="https://www.sciencedirect.com/science/article/abs/pii/S0301479720311361" TargetMode="External"/><Relationship Id="rId1" Type="http://schemas.openxmlformats.org/officeDocument/2006/relationships/hyperlink" Target="https://www.researchgate.net/publication/271506054_The_Carbon_Impacts_of_Wood_Products" TargetMode="External"/><Relationship Id="rId6" Type="http://schemas.openxmlformats.org/officeDocument/2006/relationships/hyperlink" Target="https://environment.govt.nz/publications/measuring-emissions-detailed-guide-2020/" TargetMode="External"/><Relationship Id="rId11" Type="http://schemas.openxmlformats.org/officeDocument/2006/relationships/hyperlink" Target="https://www.industry.gov.au/data-and-publications/national-greenhouse-accounts-factors-2021" TargetMode="External"/><Relationship Id="rId24" Type="http://schemas.openxmlformats.org/officeDocument/2006/relationships/hyperlink" Target="https://www.jcm.go.jp/cl-jp/methodologies/68/attached_document1" TargetMode="External"/><Relationship Id="rId32" Type="http://schemas.openxmlformats.org/officeDocument/2006/relationships/vmlDrawing" Target="../drawings/vmlDrawing4.vml"/><Relationship Id="rId5" Type="http://schemas.openxmlformats.org/officeDocument/2006/relationships/hyperlink" Target="https://www.ipcc.ch/publications_and_data/ar4/wg1/en/ch2s2-10-2.html" TargetMode="External"/><Relationship Id="rId15" Type="http://schemas.openxmlformats.org/officeDocument/2006/relationships/hyperlink" Target="https://www.globalpetrolprices.com/Australia/" TargetMode="External"/><Relationship Id="rId23" Type="http://schemas.openxmlformats.org/officeDocument/2006/relationships/hyperlink" Target="https://www.ipcc-nggip.iges.or.jp/public/2006gl/pdf/2_Volume2/V2_2_Ch2_Stationary_Combustion.pdf" TargetMode="External"/><Relationship Id="rId28" Type="http://schemas.openxmlformats.org/officeDocument/2006/relationships/hyperlink" Target="https://www.climate-transparency.org/wp-content/uploads/2019/11/B2G_2019_Argentina.pdf" TargetMode="External"/><Relationship Id="rId36" Type="http://schemas.openxmlformats.org/officeDocument/2006/relationships/comments" Target="../comments4.xml"/><Relationship Id="rId10" Type="http://schemas.openxmlformats.org/officeDocument/2006/relationships/hyperlink" Target="https://www.industry.gov.au/data-and-publications/national-greenhouse-accounts-factors-2021" TargetMode="External"/><Relationship Id="rId19" Type="http://schemas.openxmlformats.org/officeDocument/2006/relationships/hyperlink" Target="https://www.ecfr.gov/current/title-40/chapter-I/subchapter-C/part-98" TargetMode="External"/><Relationship Id="rId31" Type="http://schemas.openxmlformats.org/officeDocument/2006/relationships/drawing" Target="../drawings/drawing10.xml"/><Relationship Id="rId4" Type="http://schemas.openxmlformats.org/officeDocument/2006/relationships/hyperlink" Target="https://environment.govt.nz/publications/measuring-emissions-detailed-guide-2020/" TargetMode="External"/><Relationship Id="rId9" Type="http://schemas.openxmlformats.org/officeDocument/2006/relationships/hyperlink" Target="https://www.industry.gov.au/data-and-publications/national-greenhouse-accounts-factors-2021" TargetMode="External"/><Relationship Id="rId14" Type="http://schemas.openxmlformats.org/officeDocument/2006/relationships/hyperlink" Target="https://www.researchgate.net/publication/313258190_Greenhouse_Gases_and_Energy_Intensity_of_Granite_Rock_Mining_Operations_in_Thailand_A_Case_of_Industrial_Rock-Construction" TargetMode="External"/><Relationship Id="rId22" Type="http://schemas.openxmlformats.org/officeDocument/2006/relationships/hyperlink" Target="https://ecoquery.ecoinvent.org/3.10/cutoff/dataset/22862/documentation" TargetMode="External"/><Relationship Id="rId27" Type="http://schemas.openxmlformats.org/officeDocument/2006/relationships/hyperlink" Target="https://iea.blob.core.windows.net/assets/69b838f4-12ad-4f51-9155-9da6435b5d53/IEA_UpstreamLifeCycleEmissionFactors_Documentation.pdf" TargetMode="External"/><Relationship Id="rId30" Type="http://schemas.openxmlformats.org/officeDocument/2006/relationships/printerSettings" Target="../printerSettings/printerSettings28.bin"/><Relationship Id="rId35" Type="http://schemas.openxmlformats.org/officeDocument/2006/relationships/table" Target="../tables/table7.xml"/><Relationship Id="rId8" Type="http://schemas.openxmlformats.org/officeDocument/2006/relationships/hyperlink" Target="https://environment.govt.nz/publications/measuring-emissions-detailed-guide-2020/"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9/04/relationships/documenttask" Target="../documenttasks/documenttask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hyperlink" Target="https://datos.gob.ar/el/dataset/energia-calculo-factor-emision-co2-red-argentina-energia-electrica" TargetMode="External"/><Relationship Id="rId18" Type="http://schemas.openxmlformats.org/officeDocument/2006/relationships/hyperlink" Target="http://energiaabierta.cl/visualizaciones/factor-de-emision-sic-sing/" TargetMode="External"/><Relationship Id="rId26" Type="http://schemas.openxmlformats.org/officeDocument/2006/relationships/hyperlink" Target="https://www.argentina.gob.ar/inv/vinos/estadisticas/superficie/anuarios" TargetMode="External"/><Relationship Id="rId21" Type="http://schemas.openxmlformats.org/officeDocument/2006/relationships/hyperlink" Target="https://ecoquery.ecoinvent.org/3.10/cutoff/dataset/5665/impact_assessment" TargetMode="External"/><Relationship Id="rId34" Type="http://schemas.openxmlformats.org/officeDocument/2006/relationships/table" Target="../tables/table2.xml"/><Relationship Id="rId7" Type="http://schemas.openxmlformats.org/officeDocument/2006/relationships/hyperlink" Target="https://ghgprotocol.org/calculation-tools" TargetMode="External"/><Relationship Id="rId12" Type="http://schemas.openxmlformats.org/officeDocument/2006/relationships/hyperlink" Target="https://energia.gob.cl/indicadores-ambientales-factor-de-emisiones-gei-del-sistema-electrico-nacional" TargetMode="External"/><Relationship Id="rId17" Type="http://schemas.openxmlformats.org/officeDocument/2006/relationships/hyperlink" Target="http://energiaabierta.cl/visualizaciones/factor-de-emision-sic-sing/" TargetMode="External"/><Relationship Id="rId25" Type="http://schemas.openxmlformats.org/officeDocument/2006/relationships/hyperlink" Target="https://www.ipcc-nggip.iges.or.jp/public/2006gl/pdf/2_Volume2/V2_2_Ch2_Stationary_Combustion.pdf" TargetMode="External"/><Relationship Id="rId33" Type="http://schemas.openxmlformats.org/officeDocument/2006/relationships/vmlDrawing" Target="../drawings/vmlDrawing2.vml"/><Relationship Id="rId2" Type="http://schemas.openxmlformats.org/officeDocument/2006/relationships/hyperlink" Target="https://www.eia.gov/tools/faqs/faq.php?id=82&amp;t=11" TargetMode="External"/><Relationship Id="rId16" Type="http://schemas.openxmlformats.org/officeDocument/2006/relationships/hyperlink" Target="https://www.xe.com/currencyconverter/convert/?Amount=1&amp;From=USD&amp;To=CLP" TargetMode="External"/><Relationship Id="rId20" Type="http://schemas.openxmlformats.org/officeDocument/2006/relationships/hyperlink" Target="https://www.sciencedirect.com/science/article/pii/S266679082300054X" TargetMode="External"/><Relationship Id="rId29" Type="http://schemas.openxmlformats.org/officeDocument/2006/relationships/hyperlink" Target="https://www.ipcc.ch/publications_and_data/ar4/wg1/en/ch2s2-10-2.html" TargetMode="External"/><Relationship Id="rId1" Type="http://schemas.openxmlformats.org/officeDocument/2006/relationships/hyperlink" Target="https://www.fpl.fs.fed.us/documnts/pdf2014/fpl_2014_bergman007.pdf" TargetMode="External"/><Relationship Id="rId6" Type="http://schemas.openxmlformats.org/officeDocument/2006/relationships/hyperlink" Target="https://www.globalpetrolprices.com/Argentina/" TargetMode="External"/><Relationship Id="rId11" Type="http://schemas.openxmlformats.org/officeDocument/2006/relationships/hyperlink" Target="https://www.climate-transparency.org/wp-content/uploads/2019/11/B2G_2019_Argentina.pdf" TargetMode="External"/><Relationship Id="rId24" Type="http://schemas.openxmlformats.org/officeDocument/2006/relationships/hyperlink" Target="https://namasenergia.minem.gob.pe/Content/fileman/Uploads/eficienciaenergetica/menueficiencia/Factores%20de%20emisi%C3%B3n%20nacionales%20por%20consumos%20de%20electricidad.pdf" TargetMode="External"/><Relationship Id="rId32" Type="http://schemas.openxmlformats.org/officeDocument/2006/relationships/drawing" Target="../drawings/drawing6.xml"/><Relationship Id="rId37" Type="http://schemas.openxmlformats.org/officeDocument/2006/relationships/comments" Target="../comments2.xml"/><Relationship Id="rId5" Type="http://schemas.openxmlformats.org/officeDocument/2006/relationships/hyperlink" Target="https://www.researchgate.net/publication/313258190_Greenhouse_Gases_and_Energy_Intensity_of_Granite_Rock_Mining_Operations_in_Thailand_A_Case_of_Industrial_Rock-Construction" TargetMode="External"/><Relationship Id="rId15" Type="http://schemas.openxmlformats.org/officeDocument/2006/relationships/hyperlink" Target="https://www.xe.com/currencyconverter/convert/?Amount=1&amp;From=USD&amp;To=ARS" TargetMode="External"/><Relationship Id="rId23" Type="http://schemas.openxmlformats.org/officeDocument/2006/relationships/hyperlink" Target="https://ghgprotocol.org/sites/default/files/Global-Warming-Potential-Values%20%28Feb%2016%202016%29_0.pdf" TargetMode="External"/><Relationship Id="rId28" Type="http://schemas.openxmlformats.org/officeDocument/2006/relationships/hyperlink" Target="https://www.ipcc.ch/report/ar6/wg1/downloads/report/IPCC_AR6_WGI_Chapter07_SM.pdf" TargetMode="External"/><Relationship Id="rId36" Type="http://schemas.openxmlformats.org/officeDocument/2006/relationships/table" Target="../tables/table4.xml"/><Relationship Id="rId10" Type="http://schemas.openxmlformats.org/officeDocument/2006/relationships/hyperlink" Target="https://www.ipcc-nggip.iges.or.jp/public/2006gl/pdf/2_Volume2/V2_2_Ch2_Stationary_Combustion.pdf" TargetMode="External"/><Relationship Id="rId19" Type="http://schemas.openxmlformats.org/officeDocument/2006/relationships/hyperlink" Target="http://energiaabierta.cl/visualizaciones/factor-de-emision-sic-sing/" TargetMode="External"/><Relationship Id="rId31" Type="http://schemas.openxmlformats.org/officeDocument/2006/relationships/printerSettings" Target="../printerSettings/printerSettings6.bin"/><Relationship Id="rId4" Type="http://schemas.openxmlformats.org/officeDocument/2006/relationships/hyperlink" Target="http://www.ipw.co.za/content/pdfs/ghg/eng/International_Wine_Carbon_Calculator_Protocol_V1.2.pdf" TargetMode="External"/><Relationship Id="rId9" Type="http://schemas.openxmlformats.org/officeDocument/2006/relationships/hyperlink" Target="https://www.ecfr.gov/current/title-40/chapter-I/subchapter-C/part-98" TargetMode="External"/><Relationship Id="rId14" Type="http://schemas.openxmlformats.org/officeDocument/2006/relationships/hyperlink" Target="https://www.ipcc-nggip.iges.or.jp/public/2006gl/pdf/2_Volume2/V2_2_Ch2_Stationary_Combustion.pdf" TargetMode="External"/><Relationship Id="rId22" Type="http://schemas.openxmlformats.org/officeDocument/2006/relationships/hyperlink" Target="https://ghgprotocol.org/sites/default/files/Global-Warming-Potential-Values%20%28Feb%2016%202016%29_0.pdf" TargetMode="External"/><Relationship Id="rId27" Type="http://schemas.openxmlformats.org/officeDocument/2006/relationships/hyperlink" Target="https://www.globalpetrolprices.com/Argentina/" TargetMode="External"/><Relationship Id="rId30" Type="http://schemas.openxmlformats.org/officeDocument/2006/relationships/hyperlink" Target="https://www.ipcc.ch/report/ar6/wg1/downloads/report/IPCC_AR6_WGI_Chapter07_SM.pdf" TargetMode="External"/><Relationship Id="rId35" Type="http://schemas.openxmlformats.org/officeDocument/2006/relationships/table" Target="../tables/table3.xml"/><Relationship Id="rId8" Type="http://schemas.openxmlformats.org/officeDocument/2006/relationships/hyperlink" Target="https://www.epa.gov/system/files/documents/2023-03/ghg_emission_factors_hub.pdf" TargetMode="External"/><Relationship Id="rId3" Type="http://schemas.openxmlformats.org/officeDocument/2006/relationships/hyperlink" Target="https://www.ipcc.ch/publications_and_data/ar4/wg1/en/ch2s2-10-2.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ia.gov/tools/faqs/faq.php?id=45&amp;t=8" TargetMode="External"/><Relationship Id="rId1" Type="http://schemas.openxmlformats.org/officeDocument/2006/relationships/hyperlink" Target="https://www.elgas.com.au/blog/1675-propane-conversion-values-pounds-gallons-btu-therms-ft-us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lgas.com.au/blog/1675-propane-conversion-values-pounds-gallons-btu-therms-ft-us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955B7-AE7A-453B-A15C-0714E48D138C}">
  <sheetPr>
    <tabColor theme="9" tint="-0.499984740745262"/>
  </sheetPr>
  <dimension ref="A1:CY318"/>
  <sheetViews>
    <sheetView zoomScaleNormal="100" workbookViewId="0">
      <selection activeCell="E9" sqref="E9"/>
    </sheetView>
  </sheetViews>
  <sheetFormatPr baseColWidth="10" defaultColWidth="9.140625" defaultRowHeight="15"/>
  <cols>
    <col min="1" max="1" width="136.85546875" customWidth="1"/>
    <col min="2" max="4" width="9.140625" style="7"/>
    <col min="5" max="5" width="96.42578125" style="7" customWidth="1"/>
    <col min="6" max="103" width="9.140625" style="7"/>
  </cols>
  <sheetData>
    <row r="1" spans="1:103" s="23" customFormat="1">
      <c r="A1" s="1591"/>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5"/>
      <c r="BJ1" s="145"/>
      <c r="BK1" s="145"/>
      <c r="BL1" s="145"/>
      <c r="BM1" s="145"/>
      <c r="BN1" s="145"/>
      <c r="BO1" s="145"/>
      <c r="BP1" s="145"/>
      <c r="BQ1" s="145"/>
      <c r="BR1" s="145"/>
      <c r="BS1" s="145"/>
      <c r="BT1" s="145"/>
      <c r="BU1" s="145"/>
      <c r="BV1" s="145"/>
      <c r="BW1" s="145"/>
      <c r="BX1" s="145"/>
      <c r="BY1" s="145"/>
      <c r="BZ1" s="145"/>
      <c r="CA1" s="145"/>
      <c r="CB1" s="145"/>
      <c r="CC1" s="145"/>
      <c r="CD1" s="145"/>
      <c r="CE1" s="145"/>
      <c r="CF1" s="145"/>
      <c r="CG1" s="145"/>
      <c r="CH1" s="145"/>
      <c r="CI1" s="145"/>
      <c r="CJ1" s="145"/>
      <c r="CK1" s="145"/>
      <c r="CL1" s="145"/>
      <c r="CM1" s="145"/>
      <c r="CN1" s="145"/>
      <c r="CO1" s="145"/>
      <c r="CP1" s="145"/>
      <c r="CQ1" s="145"/>
      <c r="CR1" s="145"/>
      <c r="CS1" s="145"/>
      <c r="CT1" s="145"/>
      <c r="CU1" s="145"/>
      <c r="CV1" s="145"/>
      <c r="CW1" s="145"/>
      <c r="CX1" s="145"/>
      <c r="CY1" s="145"/>
    </row>
    <row r="2" spans="1:103" s="23" customFormat="1">
      <c r="A2" s="1591"/>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145"/>
      <c r="BP2" s="145"/>
      <c r="BQ2" s="145"/>
      <c r="BR2" s="145"/>
      <c r="BS2" s="145"/>
      <c r="BT2" s="145"/>
      <c r="BU2" s="145"/>
      <c r="BV2" s="145"/>
      <c r="BW2" s="145"/>
      <c r="BX2" s="145"/>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5"/>
      <c r="CY2" s="145"/>
    </row>
    <row r="3" spans="1:103" s="23" customFormat="1">
      <c r="A3" s="1591"/>
      <c r="B3" s="145"/>
      <c r="C3" s="145"/>
      <c r="D3" s="145"/>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row>
    <row r="4" spans="1:103" s="23" customFormat="1">
      <c r="A4" s="1592"/>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row>
    <row r="5" spans="1:103" ht="23.25">
      <c r="A5" s="729" t="s">
        <v>0</v>
      </c>
    </row>
    <row r="6" spans="1:103" ht="130.9" customHeight="1">
      <c r="A6" s="138" t="s">
        <v>1</v>
      </c>
      <c r="E6" s="153"/>
    </row>
    <row r="7" spans="1:103" ht="25.5" customHeight="1">
      <c r="A7" s="1436" t="s">
        <v>2</v>
      </c>
    </row>
    <row r="8" spans="1:103" ht="130.9" customHeight="1">
      <c r="A8" s="1430" t="s">
        <v>3</v>
      </c>
    </row>
    <row r="9" spans="1:103" ht="23.25">
      <c r="A9" s="729" t="s">
        <v>4</v>
      </c>
    </row>
    <row r="10" spans="1:103" ht="53.25" customHeight="1">
      <c r="A10" s="138" t="s">
        <v>5</v>
      </c>
      <c r="D10"/>
    </row>
    <row r="11" spans="1:103" ht="69" customHeight="1">
      <c r="A11" s="138" t="s">
        <v>6</v>
      </c>
      <c r="E11"/>
    </row>
    <row r="12" spans="1:103" ht="29.25" customHeight="1">
      <c r="A12" s="139" t="s">
        <v>7</v>
      </c>
    </row>
    <row r="13" spans="1:103" ht="21" customHeight="1">
      <c r="A13" s="146" t="s">
        <v>8</v>
      </c>
      <c r="B13" s="145"/>
    </row>
    <row r="14" spans="1:103" ht="27.75" customHeight="1">
      <c r="A14" s="146" t="s">
        <v>9</v>
      </c>
      <c r="B14" s="145"/>
    </row>
    <row r="15" spans="1:103" ht="19.5" customHeight="1">
      <c r="A15" s="147" t="s">
        <v>10</v>
      </c>
      <c r="B15" s="145"/>
    </row>
    <row r="16" spans="1:103" ht="23.25">
      <c r="A16" s="729" t="s">
        <v>11</v>
      </c>
    </row>
    <row r="17" spans="1:2" ht="30">
      <c r="A17" s="136" t="s">
        <v>12</v>
      </c>
    </row>
    <row r="18" spans="1:2">
      <c r="A18" s="136"/>
    </row>
    <row r="19" spans="1:2" ht="45">
      <c r="A19" s="136" t="s">
        <v>13</v>
      </c>
    </row>
    <row r="20" spans="1:2">
      <c r="A20" s="136"/>
    </row>
    <row r="21" spans="1:2" ht="64.5" customHeight="1">
      <c r="A21" s="136" t="s">
        <v>14</v>
      </c>
    </row>
    <row r="22" spans="1:2">
      <c r="A22" s="137"/>
    </row>
    <row r="23" spans="1:2" ht="30">
      <c r="A23" s="148" t="s">
        <v>15</v>
      </c>
      <c r="B23" s="145"/>
    </row>
    <row r="24" spans="1:2">
      <c r="A24" s="148"/>
      <c r="B24" s="145"/>
    </row>
    <row r="25" spans="1:2">
      <c r="A25" s="148" t="s">
        <v>16</v>
      </c>
      <c r="B25" s="145"/>
    </row>
    <row r="26" spans="1:2">
      <c r="A26" s="149"/>
      <c r="B26" s="145"/>
    </row>
    <row r="27" spans="1:2">
      <c r="A27" s="152" t="s">
        <v>17</v>
      </c>
    </row>
    <row r="28" spans="1:2">
      <c r="A28" s="150"/>
    </row>
    <row r="29" spans="1:2" ht="23.25">
      <c r="A29" s="729" t="s">
        <v>18</v>
      </c>
    </row>
    <row r="30" spans="1:2" ht="75">
      <c r="A30" s="135" t="s">
        <v>19</v>
      </c>
    </row>
    <row r="31" spans="1:2">
      <c r="A31" s="134"/>
    </row>
    <row r="32" spans="1:2" ht="30">
      <c r="A32" s="135" t="s">
        <v>20</v>
      </c>
    </row>
    <row r="33" spans="1:3">
      <c r="A33" s="149"/>
      <c r="B33" s="145"/>
    </row>
    <row r="34" spans="1:3">
      <c r="A34" s="152" t="s">
        <v>21</v>
      </c>
      <c r="B34" s="145"/>
    </row>
    <row r="35" spans="1:3">
      <c r="A35" s="149"/>
      <c r="B35" s="145"/>
      <c r="C35"/>
    </row>
    <row r="36" spans="1:3">
      <c r="A36" s="149"/>
      <c r="B36" s="145"/>
    </row>
    <row r="37" spans="1:3" ht="23.25">
      <c r="A37" s="729" t="s">
        <v>22</v>
      </c>
    </row>
    <row r="38" spans="1:3" ht="135">
      <c r="A38" s="135" t="s">
        <v>23</v>
      </c>
    </row>
    <row r="39" spans="1:3">
      <c r="A39" s="134"/>
    </row>
    <row r="40" spans="1:3" ht="30">
      <c r="A40" s="151" t="s">
        <v>24</v>
      </c>
      <c r="B40" s="145"/>
    </row>
    <row r="41" spans="1:3">
      <c r="A41" s="152" t="s">
        <v>25</v>
      </c>
      <c r="B41" s="145"/>
    </row>
    <row r="42" spans="1:3">
      <c r="A42" s="149"/>
      <c r="B42" s="145"/>
    </row>
    <row r="43" spans="1:3">
      <c r="A43" s="149"/>
      <c r="B43" s="145"/>
    </row>
    <row r="44" spans="1:3">
      <c r="A44" s="149"/>
      <c r="B44" s="145"/>
    </row>
    <row r="45" spans="1:3" ht="22.5" customHeight="1">
      <c r="A45" s="149"/>
      <c r="B45" s="145"/>
    </row>
    <row r="46" spans="1:3">
      <c r="A46" s="149"/>
      <c r="B46" s="145"/>
    </row>
    <row r="47" spans="1:3" s="7" customFormat="1">
      <c r="A47" s="425" t="s">
        <v>26</v>
      </c>
    </row>
    <row r="48" spans="1:3" s="7" customFormat="1"/>
    <row r="49" s="7" customFormat="1"/>
    <row r="50" s="7" customFormat="1"/>
    <row r="51" s="7" customFormat="1"/>
    <row r="52" s="7" customFormat="1"/>
    <row r="53" s="7" customFormat="1"/>
    <row r="54" s="7" customFormat="1"/>
    <row r="55" s="7" customFormat="1"/>
    <row r="56" s="7" customFormat="1"/>
    <row r="57" s="7" customFormat="1"/>
    <row r="58" s="7" customFormat="1"/>
    <row r="59" s="7" customFormat="1"/>
    <row r="60" s="7" customFormat="1"/>
    <row r="61" s="7" customFormat="1"/>
    <row r="62" s="7" customFormat="1"/>
    <row r="63" s="7" customFormat="1"/>
    <row r="64" s="7" customFormat="1"/>
    <row r="65" s="7" customFormat="1"/>
    <row r="66" s="7" customFormat="1"/>
    <row r="67" s="7" customFormat="1"/>
    <row r="68" s="7" customFormat="1"/>
    <row r="69" s="7" customFormat="1"/>
    <row r="70" s="7" customFormat="1"/>
    <row r="71" s="7" customFormat="1"/>
    <row r="72" s="7" customFormat="1"/>
    <row r="73" s="7" customFormat="1"/>
    <row r="74" s="7" customFormat="1"/>
    <row r="75" s="7" customFormat="1"/>
    <row r="76" s="7" customFormat="1"/>
    <row r="77" s="7" customFormat="1"/>
    <row r="78" s="7" customFormat="1"/>
    <row r="79" s="7" customFormat="1"/>
    <row r="80" s="7" customFormat="1"/>
    <row r="81" s="7" customFormat="1"/>
    <row r="82" s="7" customFormat="1"/>
    <row r="83" s="7" customFormat="1"/>
    <row r="84" s="7" customFormat="1"/>
    <row r="85" s="7" customFormat="1"/>
    <row r="86" s="7" customFormat="1"/>
    <row r="87" s="7" customFormat="1"/>
    <row r="88" s="7" customFormat="1"/>
    <row r="89" s="7" customFormat="1"/>
    <row r="90" s="7" customFormat="1"/>
    <row r="91" s="7" customFormat="1"/>
    <row r="92" s="7" customFormat="1"/>
    <row r="93" s="7" customFormat="1"/>
    <row r="94" s="7" customFormat="1"/>
    <row r="95" s="7" customFormat="1"/>
    <row r="96" s="7" customFormat="1"/>
    <row r="97" s="7" customFormat="1"/>
    <row r="98" s="7" customFormat="1"/>
    <row r="99" s="7" customFormat="1"/>
    <row r="100" s="7" customFormat="1"/>
    <row r="101" s="7" customFormat="1"/>
    <row r="102" s="7" customFormat="1"/>
    <row r="103" s="7" customFormat="1"/>
    <row r="104" s="7" customFormat="1"/>
    <row r="105" s="7" customFormat="1"/>
    <row r="106" s="7" customFormat="1"/>
    <row r="107" s="7" customFormat="1"/>
    <row r="108" s="7" customFormat="1"/>
    <row r="109" s="7" customFormat="1"/>
    <row r="110" s="7" customFormat="1"/>
    <row r="111" s="7" customFormat="1"/>
    <row r="112" s="7" customFormat="1"/>
    <row r="113" s="7" customFormat="1"/>
    <row r="114" s="7" customFormat="1"/>
    <row r="115" s="7" customFormat="1"/>
    <row r="116" s="7" customFormat="1"/>
    <row r="117" s="7" customFormat="1"/>
    <row r="118" s="7" customFormat="1"/>
    <row r="119" s="7" customFormat="1"/>
    <row r="120" s="7" customFormat="1"/>
    <row r="121" s="7" customFormat="1"/>
    <row r="122" s="7" customFormat="1"/>
    <row r="123" s="7" customFormat="1"/>
    <row r="124" s="7" customFormat="1"/>
    <row r="125" s="7" customFormat="1"/>
    <row r="126" s="7" customFormat="1"/>
    <row r="127" s="7" customFormat="1"/>
    <row r="128" s="7" customFormat="1"/>
    <row r="129" s="7" customFormat="1"/>
    <row r="130" s="7" customFormat="1"/>
    <row r="131" s="7" customFormat="1"/>
    <row r="132" s="7" customFormat="1"/>
    <row r="133" s="7" customFormat="1"/>
    <row r="134" s="7" customFormat="1"/>
    <row r="135" s="7" customFormat="1"/>
    <row r="136" s="7" customFormat="1"/>
    <row r="137" s="7" customFormat="1"/>
    <row r="138" s="7" customFormat="1"/>
    <row r="139" s="7" customFormat="1"/>
    <row r="140" s="7" customFormat="1"/>
    <row r="141" s="7" customFormat="1"/>
    <row r="142" s="7" customFormat="1"/>
    <row r="143" s="7" customFormat="1"/>
    <row r="144" s="7" customFormat="1"/>
    <row r="145" s="7" customFormat="1"/>
    <row r="146" s="7" customFormat="1"/>
    <row r="147" s="7" customFormat="1"/>
    <row r="148" s="7" customFormat="1"/>
    <row r="149" s="7" customFormat="1"/>
    <row r="150" s="7" customFormat="1"/>
    <row r="151" s="7" customFormat="1"/>
    <row r="152" s="7" customFormat="1"/>
    <row r="153" s="7" customFormat="1"/>
    <row r="154" s="7" customFormat="1"/>
    <row r="155" s="7" customFormat="1"/>
    <row r="156" s="7" customFormat="1"/>
    <row r="157" s="7" customFormat="1"/>
    <row r="158" s="7" customFormat="1"/>
    <row r="159" s="7" customFormat="1"/>
    <row r="160" s="7" customFormat="1"/>
    <row r="161" s="7" customFormat="1"/>
    <row r="162" s="7" customFormat="1"/>
    <row r="163" s="7" customFormat="1"/>
    <row r="164" s="7" customFormat="1"/>
    <row r="165" s="7" customFormat="1"/>
    <row r="166" s="7" customFormat="1"/>
    <row r="167" s="7" customFormat="1"/>
    <row r="168" s="7" customFormat="1"/>
    <row r="169" s="7" customFormat="1"/>
    <row r="170" s="7" customFormat="1"/>
    <row r="171" s="7" customFormat="1"/>
    <row r="172" s="7" customFormat="1"/>
    <row r="173" s="7" customFormat="1"/>
    <row r="174" s="7" customFormat="1"/>
    <row r="175" s="7" customFormat="1"/>
    <row r="176" s="7" customFormat="1"/>
    <row r="177" s="7" customFormat="1"/>
    <row r="178" s="7" customFormat="1"/>
    <row r="179" s="7" customFormat="1"/>
    <row r="180" s="7" customFormat="1"/>
    <row r="181" s="7" customFormat="1"/>
    <row r="182" s="7" customFormat="1"/>
    <row r="183" s="7" customFormat="1"/>
    <row r="184" s="7" customFormat="1"/>
    <row r="185" s="7" customFormat="1"/>
    <row r="186" s="7" customFormat="1"/>
    <row r="187" s="7" customFormat="1"/>
    <row r="188" s="7" customFormat="1"/>
    <row r="189" s="7" customFormat="1"/>
    <row r="190" s="7" customFormat="1"/>
    <row r="191" s="7" customFormat="1"/>
    <row r="192" s="7" customFormat="1"/>
    <row r="193" s="7" customFormat="1"/>
    <row r="194" s="7" customFormat="1"/>
    <row r="195" s="7" customFormat="1"/>
    <row r="196" s="7" customFormat="1"/>
    <row r="197" s="7" customFormat="1"/>
    <row r="198" s="7" customFormat="1"/>
    <row r="199" s="7" customFormat="1"/>
    <row r="200" s="7" customFormat="1"/>
    <row r="201" s="7" customFormat="1"/>
    <row r="202" s="7" customFormat="1"/>
    <row r="203" s="7" customFormat="1"/>
    <row r="204" s="7" customFormat="1"/>
    <row r="205" s="7" customFormat="1"/>
    <row r="206" s="7" customFormat="1"/>
    <row r="207" s="7" customFormat="1"/>
    <row r="208" s="7" customFormat="1"/>
    <row r="209" s="7" customFormat="1"/>
    <row r="210" s="7" customFormat="1"/>
    <row r="211" s="7" customFormat="1"/>
    <row r="212" s="7" customFormat="1"/>
    <row r="213" s="7" customFormat="1"/>
    <row r="214" s="7" customFormat="1"/>
    <row r="215" s="7" customFormat="1"/>
    <row r="216" s="7" customFormat="1"/>
    <row r="217" s="7" customFormat="1"/>
    <row r="218" s="7" customFormat="1"/>
    <row r="219" s="7" customFormat="1"/>
    <row r="220" s="7" customFormat="1"/>
    <row r="221" s="7" customFormat="1"/>
    <row r="222" s="7" customFormat="1"/>
    <row r="223" s="7" customFormat="1"/>
    <row r="224" s="7" customFormat="1"/>
    <row r="225" s="7" customFormat="1"/>
    <row r="226" s="7" customFormat="1"/>
    <row r="227" s="7" customFormat="1"/>
    <row r="228" s="7" customFormat="1"/>
    <row r="229" s="7" customFormat="1"/>
    <row r="230" s="7" customFormat="1"/>
    <row r="231" s="7" customFormat="1"/>
    <row r="232" s="7" customFormat="1"/>
    <row r="233" s="7" customFormat="1"/>
    <row r="234" s="7" customFormat="1"/>
    <row r="235" s="7" customFormat="1"/>
    <row r="236" s="7" customFormat="1"/>
    <row r="237" s="7" customFormat="1"/>
    <row r="238" s="7" customFormat="1"/>
    <row r="239" s="7" customFormat="1"/>
    <row r="240" s="7" customFormat="1"/>
    <row r="241" s="7" customFormat="1"/>
    <row r="242" s="7" customFormat="1"/>
    <row r="243" s="7" customFormat="1"/>
    <row r="244" s="7" customFormat="1"/>
    <row r="245" s="7" customFormat="1"/>
    <row r="246" s="7" customFormat="1"/>
    <row r="247" s="7" customFormat="1"/>
    <row r="248" s="7" customFormat="1"/>
    <row r="249" s="7" customFormat="1"/>
    <row r="250" s="7" customFormat="1"/>
    <row r="251" s="7" customFormat="1"/>
    <row r="252" s="7" customFormat="1"/>
    <row r="253" s="7" customFormat="1"/>
    <row r="254" s="7" customFormat="1"/>
    <row r="255" s="7" customFormat="1"/>
    <row r="256" s="7" customFormat="1"/>
    <row r="257" s="7" customFormat="1"/>
    <row r="258" s="7" customFormat="1"/>
    <row r="259" s="7" customFormat="1"/>
    <row r="260" s="7" customFormat="1"/>
    <row r="261" s="7" customFormat="1"/>
    <row r="262" s="7" customFormat="1"/>
    <row r="263" s="7" customFormat="1"/>
    <row r="264" s="7" customFormat="1"/>
    <row r="265" s="7" customFormat="1"/>
    <row r="266" s="7" customFormat="1"/>
    <row r="267" s="7" customFormat="1"/>
    <row r="268" s="7" customFormat="1"/>
    <row r="269" s="7" customFormat="1"/>
    <row r="270" s="7" customFormat="1"/>
    <row r="271" s="7" customFormat="1"/>
    <row r="272" s="7" customFormat="1"/>
    <row r="273" s="7" customFormat="1"/>
    <row r="274" s="7" customFormat="1"/>
    <row r="275" s="7" customFormat="1"/>
    <row r="276" s="7" customFormat="1"/>
    <row r="277" s="7" customFormat="1"/>
    <row r="278" s="7" customFormat="1"/>
    <row r="279" s="7" customFormat="1"/>
    <row r="280" s="7" customFormat="1"/>
    <row r="281" s="7" customFormat="1"/>
    <row r="282" s="7" customFormat="1"/>
    <row r="283" s="7" customFormat="1"/>
    <row r="284" s="7" customFormat="1"/>
    <row r="285" s="7" customFormat="1"/>
    <row r="286" s="7" customFormat="1"/>
    <row r="287" s="7" customFormat="1"/>
    <row r="288" s="7" customFormat="1"/>
    <row r="289" s="7" customFormat="1"/>
    <row r="290" s="7" customFormat="1"/>
    <row r="291" s="7" customFormat="1"/>
    <row r="292" s="7" customFormat="1"/>
    <row r="293" s="7" customFormat="1"/>
    <row r="294" s="7" customFormat="1"/>
    <row r="295" s="7" customFormat="1"/>
    <row r="296" s="7" customFormat="1"/>
    <row r="297" s="7" customFormat="1"/>
    <row r="298" s="7" customFormat="1"/>
    <row r="299" s="7" customFormat="1"/>
    <row r="300" s="7" customFormat="1"/>
    <row r="301" s="7" customFormat="1"/>
    <row r="302" s="7" customFormat="1"/>
    <row r="303" s="7" customFormat="1"/>
    <row r="304" s="7" customFormat="1"/>
    <row r="305" s="7" customFormat="1"/>
    <row r="306" s="7" customFormat="1"/>
    <row r="307" s="7" customFormat="1"/>
    <row r="308" s="7" customFormat="1"/>
    <row r="309" s="7" customFormat="1"/>
    <row r="310" s="7" customFormat="1"/>
    <row r="311" s="7" customFormat="1"/>
    <row r="312" s="7" customFormat="1"/>
    <row r="313" s="7" customFormat="1"/>
    <row r="314" s="7" customFormat="1"/>
    <row r="315" s="7" customFormat="1"/>
    <row r="316" s="7" customFormat="1"/>
    <row r="317" s="7" customFormat="1"/>
    <row r="318" s="7" customFormat="1"/>
  </sheetData>
  <sheetProtection selectLockedCells="1"/>
  <mergeCells count="1">
    <mergeCell ref="A1:A4"/>
  </mergeCells>
  <hyperlinks>
    <hyperlink ref="A41" r:id="rId1" xr:uid="{88EA485D-1BAC-45EF-B8C4-719D84CB8D74}"/>
    <hyperlink ref="A34" r:id="rId2" xr:uid="{5FD1C2C9-A4F2-42DF-8224-011416D0061E}"/>
    <hyperlink ref="A13" r:id="rId3" display="Email: josh@sustridge.com" xr:uid="{4D3607F9-43FE-4FC8-9738-3225B4DB14EA}"/>
    <hyperlink ref="A14" r:id="rId4" display="https://www.sustridge.com/ " xr:uid="{9EAA64DA-16D5-426F-8AFC-135987580913}"/>
    <hyperlink ref="A27" r:id="rId5" xr:uid="{5D0E1B21-5CAE-4DBA-91E9-2CA009922081}"/>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00"/>
  </sheetPr>
  <dimension ref="A1:S106"/>
  <sheetViews>
    <sheetView topLeftCell="A23" zoomScale="70" zoomScaleNormal="70" workbookViewId="0">
      <selection activeCell="G17" sqref="G17"/>
    </sheetView>
  </sheetViews>
  <sheetFormatPr baseColWidth="10" defaultColWidth="8.85546875" defaultRowHeight="15.75"/>
  <cols>
    <col min="1" max="1" width="34" style="809" customWidth="1"/>
    <col min="2" max="2" width="28.85546875" style="809" bestFit="1" customWidth="1"/>
    <col min="3" max="3" width="18.42578125" style="809" customWidth="1"/>
    <col min="4" max="4" width="23.7109375" style="809" bestFit="1" customWidth="1"/>
    <col min="5" max="5" width="21.28515625" style="809" customWidth="1"/>
    <col min="6" max="6" width="28.85546875" style="797" customWidth="1"/>
    <col min="7" max="7" width="36.28515625" style="797" customWidth="1"/>
    <col min="8" max="10" width="15.7109375" style="809" customWidth="1"/>
    <col min="11" max="11" width="15.7109375" style="694" customWidth="1"/>
    <col min="12" max="19" width="8.85546875" style="694"/>
    <col min="20" max="20" width="12.7109375" style="694" customWidth="1"/>
    <col min="21" max="21" width="8.85546875" style="694"/>
    <col min="22" max="22" width="26.85546875" style="694" customWidth="1"/>
    <col min="23" max="23" width="11.140625" style="694" bestFit="1" customWidth="1"/>
    <col min="24" max="16384" width="8.85546875" style="694"/>
  </cols>
  <sheetData>
    <row r="1" spans="1:19" ht="57.75" customHeight="1">
      <c r="A1" s="808" t="s">
        <v>514</v>
      </c>
      <c r="B1" s="2021" t="s">
        <v>515</v>
      </c>
      <c r="C1" s="2022"/>
      <c r="D1" s="2022"/>
      <c r="E1" s="2023"/>
      <c r="F1" s="2001" t="s">
        <v>414</v>
      </c>
      <c r="G1" s="2002"/>
      <c r="H1" s="2002"/>
      <c r="I1" s="2002"/>
      <c r="J1" s="2002"/>
      <c r="K1" s="2003"/>
    </row>
    <row r="2" spans="1:19">
      <c r="F2" s="733" t="s">
        <v>415</v>
      </c>
      <c r="G2" s="734"/>
      <c r="H2" s="735" t="s">
        <v>416</v>
      </c>
      <c r="I2" s="736"/>
      <c r="J2" s="735" t="s">
        <v>417</v>
      </c>
      <c r="K2" s="737"/>
    </row>
    <row r="4" spans="1:19" ht="18.75">
      <c r="A4" s="2019" t="s">
        <v>516</v>
      </c>
      <c r="B4" s="2020"/>
      <c r="C4" s="712"/>
      <c r="H4" s="694"/>
      <c r="I4" s="694"/>
      <c r="J4" s="694"/>
    </row>
    <row r="5" spans="1:19" ht="37.5">
      <c r="A5" s="808" t="s">
        <v>517</v>
      </c>
      <c r="B5" s="764">
        <f>SUM(B25,C46)</f>
        <v>0</v>
      </c>
      <c r="C5" s="709"/>
    </row>
    <row r="6" spans="1:19" ht="37.5">
      <c r="A6" s="808" t="s">
        <v>518</v>
      </c>
      <c r="B6" s="764">
        <f>E18</f>
        <v>0</v>
      </c>
      <c r="C6" s="709"/>
      <c r="H6" s="712"/>
      <c r="I6" s="694"/>
      <c r="J6" s="694"/>
    </row>
    <row r="7" spans="1:19" ht="18.75">
      <c r="A7" s="808" t="s">
        <v>424</v>
      </c>
      <c r="B7" s="753">
        <f>SUM(B5:B6)</f>
        <v>0</v>
      </c>
      <c r="C7" s="709"/>
      <c r="H7" s="694"/>
      <c r="I7" s="694"/>
      <c r="J7" s="694"/>
    </row>
    <row r="8" spans="1:19">
      <c r="A8" s="674"/>
      <c r="B8" s="674"/>
      <c r="C8" s="709"/>
      <c r="I8" s="694"/>
      <c r="J8" s="694"/>
    </row>
    <row r="9" spans="1:19" ht="31.5">
      <c r="A9" s="2028" t="s">
        <v>519</v>
      </c>
      <c r="B9" s="2029"/>
      <c r="C9" s="2029"/>
      <c r="D9" s="2029"/>
      <c r="E9" s="2029"/>
      <c r="F9" s="2029"/>
      <c r="G9" s="2029"/>
      <c r="H9" s="2029"/>
      <c r="I9" s="2029"/>
      <c r="J9" s="2029"/>
      <c r="K9" s="2029"/>
      <c r="L9" s="2029"/>
      <c r="M9" s="2029"/>
      <c r="N9" s="2029"/>
      <c r="O9" s="2029"/>
      <c r="P9" s="2029"/>
      <c r="Q9" s="2029"/>
      <c r="R9" s="2029"/>
      <c r="S9" s="2029"/>
    </row>
    <row r="10" spans="1:19" ht="16.5" thickBot="1">
      <c r="A10" s="674"/>
      <c r="B10" s="674"/>
      <c r="C10" s="709"/>
      <c r="I10" s="694"/>
      <c r="J10" s="694"/>
    </row>
    <row r="11" spans="1:19" ht="33.75" customHeight="1">
      <c r="A11" s="2024" t="s">
        <v>427</v>
      </c>
      <c r="B11" s="2025"/>
      <c r="D11" s="2026" t="s">
        <v>84</v>
      </c>
      <c r="E11" s="2027"/>
      <c r="G11" s="809"/>
      <c r="H11" s="694"/>
      <c r="I11" s="694"/>
      <c r="J11" s="694"/>
    </row>
    <row r="12" spans="1:19" ht="55.5" customHeight="1">
      <c r="A12" s="747" t="s">
        <v>428</v>
      </c>
      <c r="B12" s="747" t="s">
        <v>520</v>
      </c>
      <c r="C12" s="779" t="s">
        <v>521</v>
      </c>
      <c r="D12" s="780" t="s">
        <v>522</v>
      </c>
      <c r="E12" s="781" t="s">
        <v>523</v>
      </c>
      <c r="F12" s="694"/>
      <c r="G12" s="694"/>
      <c r="H12" s="694"/>
      <c r="I12" s="694"/>
      <c r="J12" s="694"/>
    </row>
    <row r="13" spans="1:19" ht="24.95" customHeight="1">
      <c r="A13" s="751"/>
      <c r="B13" s="763"/>
      <c r="C13" s="810"/>
      <c r="D13" s="811">
        <f>((C13*0.01)+(B13*3))*(44/28)</f>
        <v>0</v>
      </c>
      <c r="E13" s="812">
        <f>SUM(D13*0.001)*'Emission Factors'!$C$7</f>
        <v>0</v>
      </c>
      <c r="F13" s="694"/>
      <c r="G13" s="694"/>
      <c r="H13" s="694"/>
      <c r="I13" s="694"/>
      <c r="J13" s="694"/>
    </row>
    <row r="14" spans="1:19" ht="24.95" customHeight="1">
      <c r="A14" s="751"/>
      <c r="B14" s="763"/>
      <c r="C14" s="810"/>
      <c r="D14" s="811">
        <f t="shared" ref="D14:D17" si="0">((C14*0.01)+(B14*3))*(44/28)</f>
        <v>0</v>
      </c>
      <c r="E14" s="812">
        <f>SUM(D14*0.001)*'Emission Factors'!$C$7</f>
        <v>0</v>
      </c>
      <c r="F14" s="694"/>
      <c r="G14" s="694"/>
      <c r="H14" s="694"/>
      <c r="I14" s="694"/>
      <c r="J14" s="694"/>
    </row>
    <row r="15" spans="1:19" ht="24.95" customHeight="1">
      <c r="A15" s="751"/>
      <c r="B15" s="763"/>
      <c r="C15" s="810"/>
      <c r="D15" s="811">
        <f t="shared" si="0"/>
        <v>0</v>
      </c>
      <c r="E15" s="812">
        <f>SUM(D15*0.001)*'Emission Factors'!$C$7</f>
        <v>0</v>
      </c>
      <c r="F15" s="694"/>
      <c r="G15" s="694"/>
      <c r="H15" s="694"/>
      <c r="I15" s="694"/>
      <c r="J15" s="694"/>
    </row>
    <row r="16" spans="1:19" ht="24.95" customHeight="1">
      <c r="A16" s="751"/>
      <c r="B16" s="763"/>
      <c r="C16" s="810"/>
      <c r="D16" s="811">
        <f t="shared" si="0"/>
        <v>0</v>
      </c>
      <c r="E16" s="812">
        <f>SUM(D16*0.001)*'Emission Factors'!$C$7</f>
        <v>0</v>
      </c>
      <c r="F16" s="694"/>
      <c r="G16" s="694"/>
      <c r="H16" s="694"/>
      <c r="I16" s="694"/>
      <c r="J16" s="694"/>
    </row>
    <row r="17" spans="1:8" s="694" customFormat="1" ht="24.95" customHeight="1" thickBot="1">
      <c r="A17" s="751"/>
      <c r="B17" s="763"/>
      <c r="C17" s="810"/>
      <c r="D17" s="813">
        <f t="shared" si="0"/>
        <v>0</v>
      </c>
      <c r="E17" s="814">
        <f>SUM(D17*0.001)*'Emission Factors'!$C$7</f>
        <v>0</v>
      </c>
    </row>
    <row r="18" spans="1:8" s="694" customFormat="1" ht="24.95" customHeight="1" thickBot="1">
      <c r="A18" s="739" t="s">
        <v>524</v>
      </c>
      <c r="B18" s="815">
        <f>SUM(B13:B17)</f>
        <v>0</v>
      </c>
      <c r="C18" s="816">
        <f>SUM(C13:C17)</f>
        <v>0</v>
      </c>
      <c r="D18" s="760">
        <f>SUM(D13:D17)</f>
        <v>0</v>
      </c>
      <c r="E18" s="817">
        <f>SUM(E13:E17)</f>
        <v>0</v>
      </c>
    </row>
    <row r="19" spans="1:8" s="694" customFormat="1" ht="24.95" customHeight="1">
      <c r="A19" s="809"/>
      <c r="B19" s="809"/>
      <c r="C19" s="809"/>
      <c r="D19" s="809"/>
      <c r="E19" s="809"/>
      <c r="F19" s="809"/>
    </row>
    <row r="20" spans="1:8" s="694" customFormat="1" ht="24.95" customHeight="1">
      <c r="A20" s="809"/>
      <c r="B20" s="809"/>
      <c r="C20" s="809"/>
      <c r="D20" s="809"/>
      <c r="E20" s="809"/>
      <c r="F20" s="809"/>
      <c r="G20" s="809"/>
    </row>
    <row r="21" spans="1:8" s="694" customFormat="1" ht="24.95" customHeight="1">
      <c r="A21" s="2019" t="s">
        <v>525</v>
      </c>
      <c r="B21" s="2020"/>
      <c r="C21" s="711"/>
      <c r="D21" s="711"/>
      <c r="E21" s="711"/>
      <c r="F21" s="711"/>
      <c r="G21" s="711"/>
    </row>
    <row r="22" spans="1:8" s="694" customFormat="1" ht="37.5">
      <c r="A22" s="818"/>
      <c r="B22" s="747" t="s">
        <v>526</v>
      </c>
      <c r="C22" s="711"/>
      <c r="D22" s="711"/>
      <c r="E22" s="711"/>
      <c r="F22" s="711"/>
      <c r="G22" s="711"/>
    </row>
    <row r="23" spans="1:8" s="694" customFormat="1" ht="37.5">
      <c r="A23" s="747" t="s">
        <v>527</v>
      </c>
      <c r="B23" s="739">
        <f>D34</f>
        <v>0</v>
      </c>
      <c r="C23" s="711"/>
      <c r="D23" s="711"/>
      <c r="E23" s="711"/>
      <c r="F23" s="711"/>
      <c r="G23" s="711"/>
    </row>
    <row r="24" spans="1:8" s="694" customFormat="1" ht="37.5">
      <c r="A24" s="747" t="s">
        <v>528</v>
      </c>
      <c r="B24" s="739">
        <f>D38</f>
        <v>0</v>
      </c>
      <c r="C24" s="711"/>
      <c r="D24" s="711"/>
      <c r="E24" s="711"/>
      <c r="F24" s="711"/>
      <c r="G24" s="711"/>
    </row>
    <row r="25" spans="1:8" s="694" customFormat="1" ht="24.95" customHeight="1">
      <c r="A25" s="808" t="s">
        <v>424</v>
      </c>
      <c r="B25" s="753">
        <f>SUM(B23:B24)</f>
        <v>0</v>
      </c>
      <c r="C25" s="711"/>
      <c r="D25" s="711"/>
      <c r="E25" s="711"/>
      <c r="F25" s="711"/>
      <c r="G25" s="711"/>
    </row>
    <row r="26" spans="1:8" s="694" customFormat="1" ht="24.95" customHeight="1">
      <c r="A26" s="710"/>
      <c r="B26" s="711"/>
      <c r="C26" s="711"/>
      <c r="D26" s="711"/>
      <c r="E26" s="711"/>
      <c r="F26" s="711"/>
      <c r="G26" s="711"/>
    </row>
    <row r="27" spans="1:8" s="694" customFormat="1" ht="37.5">
      <c r="A27" s="747" t="s">
        <v>529</v>
      </c>
      <c r="B27" s="747" t="s">
        <v>530</v>
      </c>
      <c r="C27" s="747" t="s">
        <v>531</v>
      </c>
      <c r="D27" s="747" t="s">
        <v>532</v>
      </c>
      <c r="E27" s="747" t="s">
        <v>533</v>
      </c>
      <c r="F27" s="747" t="s">
        <v>534</v>
      </c>
      <c r="G27" s="747" t="s">
        <v>535</v>
      </c>
      <c r="H27" s="747" t="s">
        <v>536</v>
      </c>
    </row>
    <row r="28" spans="1:8" s="694" customFormat="1" ht="24.95" customHeight="1">
      <c r="A28" s="739">
        <f>C18</f>
        <v>0</v>
      </c>
      <c r="B28" s="819">
        <v>1</v>
      </c>
      <c r="C28" s="739">
        <f>A28*B28</f>
        <v>0</v>
      </c>
      <c r="D28" s="819">
        <v>0.1</v>
      </c>
      <c r="E28" s="739">
        <f>C28*D28</f>
        <v>0</v>
      </c>
      <c r="F28" s="739">
        <f>C28-E28</f>
        <v>0</v>
      </c>
      <c r="G28" s="819">
        <v>0.3</v>
      </c>
      <c r="H28" s="739">
        <f>C28*G28</f>
        <v>0</v>
      </c>
    </row>
    <row r="29" spans="1:8" s="694" customFormat="1" ht="24.95" customHeight="1">
      <c r="A29" s="2030" t="s">
        <v>537</v>
      </c>
      <c r="B29" s="2031"/>
      <c r="C29" s="2031"/>
      <c r="D29" s="2031"/>
      <c r="E29" s="2031"/>
      <c r="F29" s="2031"/>
      <c r="G29" s="2032"/>
    </row>
    <row r="30" spans="1:8" s="694" customFormat="1" ht="74.25" customHeight="1">
      <c r="A30" s="2033" t="s">
        <v>538</v>
      </c>
      <c r="B30" s="2034"/>
      <c r="C30" s="2034"/>
      <c r="D30" s="2034"/>
      <c r="E30" s="2034"/>
      <c r="F30" s="2034"/>
      <c r="G30" s="2035"/>
    </row>
    <row r="31" spans="1:8" s="694" customFormat="1" ht="24.95" customHeight="1">
      <c r="A31" s="809"/>
      <c r="B31" s="711"/>
      <c r="C31" s="711"/>
      <c r="D31" s="711"/>
      <c r="E31" s="711"/>
      <c r="F31" s="711"/>
      <c r="G31" s="711"/>
    </row>
    <row r="32" spans="1:8" s="694" customFormat="1" ht="24.95" customHeight="1">
      <c r="A32" s="2004" t="s">
        <v>539</v>
      </c>
      <c r="B32" s="2005"/>
      <c r="C32" s="2005"/>
      <c r="D32" s="2006"/>
    </row>
    <row r="33" spans="1:19" ht="56.25">
      <c r="A33" s="747" t="s">
        <v>540</v>
      </c>
      <c r="B33" s="747" t="s">
        <v>541</v>
      </c>
      <c r="C33" s="747" t="s">
        <v>542</v>
      </c>
      <c r="D33" s="747" t="s">
        <v>504</v>
      </c>
      <c r="E33" s="694"/>
      <c r="F33" s="694"/>
      <c r="G33" s="694"/>
      <c r="H33" s="694"/>
      <c r="I33" s="694"/>
      <c r="J33" s="694"/>
    </row>
    <row r="34" spans="1:19" ht="24.95" customHeight="1">
      <c r="A34" s="739">
        <f>E28</f>
        <v>0</v>
      </c>
      <c r="B34" s="739">
        <f>A34*'Emission Factors'!A100</f>
        <v>0</v>
      </c>
      <c r="C34" s="739">
        <f>B34*'Emission Factors'!B100</f>
        <v>0</v>
      </c>
      <c r="D34" s="700">
        <f>C34*'Emission Factors'!$C$7/1000</f>
        <v>0</v>
      </c>
      <c r="E34" s="694"/>
      <c r="F34" s="694"/>
      <c r="G34" s="694"/>
      <c r="H34" s="694"/>
      <c r="I34" s="694"/>
      <c r="J34" s="694"/>
    </row>
    <row r="35" spans="1:19" ht="24.95" customHeight="1">
      <c r="A35" s="711"/>
      <c r="B35" s="711"/>
      <c r="C35" s="711"/>
      <c r="D35" s="712"/>
      <c r="E35" s="694"/>
      <c r="F35" s="694"/>
      <c r="G35" s="694"/>
      <c r="H35" s="694"/>
      <c r="I35" s="694"/>
      <c r="J35" s="694"/>
    </row>
    <row r="36" spans="1:19" ht="24.95" customHeight="1">
      <c r="A36" s="2004" t="s">
        <v>543</v>
      </c>
      <c r="B36" s="2005"/>
      <c r="C36" s="2005"/>
      <c r="D36" s="2006"/>
      <c r="E36" s="694"/>
      <c r="F36" s="694"/>
      <c r="G36" s="694"/>
      <c r="H36" s="694"/>
      <c r="I36" s="694"/>
      <c r="J36" s="694"/>
    </row>
    <row r="37" spans="1:19" ht="56.25">
      <c r="A37" s="747" t="s">
        <v>544</v>
      </c>
      <c r="B37" s="747" t="s">
        <v>541</v>
      </c>
      <c r="C37" s="747" t="s">
        <v>542</v>
      </c>
      <c r="D37" s="747" t="s">
        <v>504</v>
      </c>
      <c r="E37" s="694"/>
      <c r="F37" s="694"/>
      <c r="G37" s="694"/>
      <c r="H37" s="694"/>
      <c r="I37" s="694"/>
      <c r="J37" s="694"/>
    </row>
    <row r="38" spans="1:19" ht="24.95" customHeight="1">
      <c r="A38" s="739">
        <f>H28</f>
        <v>0</v>
      </c>
      <c r="B38" s="739">
        <f>A38*'Emission Factors'!A103</f>
        <v>0</v>
      </c>
      <c r="C38" s="739">
        <f>B38*'Emission Factors'!B103</f>
        <v>0</v>
      </c>
      <c r="D38" s="700">
        <f>C38*'Emission Factors'!$C$7/1000</f>
        <v>0</v>
      </c>
      <c r="E38" s="694"/>
      <c r="F38" s="694"/>
      <c r="G38" s="694"/>
      <c r="H38" s="694"/>
      <c r="I38" s="694"/>
      <c r="J38" s="694"/>
    </row>
    <row r="39" spans="1:19" ht="24.95" customHeight="1">
      <c r="A39" s="711"/>
      <c r="B39" s="711"/>
      <c r="C39" s="711"/>
      <c r="D39" s="711"/>
      <c r="E39" s="711"/>
      <c r="F39" s="711"/>
      <c r="G39" s="711"/>
      <c r="H39" s="694"/>
      <c r="I39" s="694"/>
      <c r="J39" s="694"/>
    </row>
    <row r="40" spans="1:19" ht="31.5">
      <c r="A40" s="2028" t="s">
        <v>545</v>
      </c>
      <c r="B40" s="2029"/>
      <c r="C40" s="2029"/>
      <c r="D40" s="2029"/>
      <c r="E40" s="2029"/>
      <c r="F40" s="2029"/>
      <c r="G40" s="2029"/>
      <c r="H40" s="2029"/>
      <c r="I40" s="2029"/>
      <c r="J40" s="2029"/>
      <c r="K40" s="2029"/>
      <c r="L40" s="2029"/>
      <c r="M40" s="2029"/>
      <c r="N40" s="2029"/>
      <c r="O40" s="2029"/>
      <c r="P40" s="2029"/>
      <c r="Q40" s="2029"/>
      <c r="R40" s="2029"/>
      <c r="S40" s="2029"/>
    </row>
    <row r="41" spans="1:19" ht="16.5" thickBot="1">
      <c r="A41" s="694"/>
      <c r="B41" s="711"/>
      <c r="C41" s="711"/>
      <c r="D41" s="711"/>
      <c r="E41" s="711"/>
      <c r="F41" s="711"/>
      <c r="G41" s="711"/>
      <c r="H41" s="694"/>
      <c r="I41" s="694"/>
      <c r="J41" s="694"/>
    </row>
    <row r="42" spans="1:19" ht="31.5">
      <c r="A42" s="705" t="s">
        <v>545</v>
      </c>
      <c r="B42" s="705" t="s">
        <v>546</v>
      </c>
      <c r="C42" s="820" t="s">
        <v>547</v>
      </c>
      <c r="D42" s="711"/>
      <c r="E42" s="711"/>
      <c r="F42" s="711"/>
      <c r="G42" s="711"/>
      <c r="H42" s="694"/>
      <c r="I42" s="694"/>
      <c r="J42" s="694"/>
    </row>
    <row r="43" spans="1:19">
      <c r="A43" s="713" t="s">
        <v>548</v>
      </c>
      <c r="B43" s="821"/>
      <c r="C43" s="822">
        <f>B43*'Emission Factors'!C107*0.001</f>
        <v>0</v>
      </c>
      <c r="F43" s="809"/>
      <c r="G43" s="809"/>
      <c r="H43" s="694"/>
      <c r="I43" s="694"/>
      <c r="J43" s="694"/>
    </row>
    <row r="44" spans="1:19">
      <c r="A44" s="713" t="s">
        <v>549</v>
      </c>
      <c r="B44" s="821"/>
      <c r="C44" s="822">
        <f>B44*'Emission Factors'!C108*0.001</f>
        <v>0</v>
      </c>
      <c r="F44" s="809"/>
      <c r="G44" s="809"/>
      <c r="H44" s="694"/>
      <c r="I44" s="694"/>
      <c r="J44" s="694"/>
    </row>
    <row r="45" spans="1:19" ht="16.5" thickBot="1">
      <c r="A45" s="713" t="s">
        <v>550</v>
      </c>
      <c r="B45" s="821"/>
      <c r="C45" s="822">
        <f>B45*'Emission Factors'!C109*0.001</f>
        <v>0</v>
      </c>
      <c r="F45" s="809"/>
      <c r="G45" s="809"/>
      <c r="H45" s="694"/>
      <c r="I45" s="694"/>
      <c r="J45" s="694"/>
    </row>
    <row r="46" spans="1:19" ht="16.5" thickBot="1">
      <c r="B46" s="823" t="s">
        <v>424</v>
      </c>
      <c r="C46" s="824">
        <f>SUM(C43:C45)</f>
        <v>0</v>
      </c>
      <c r="F46" s="809"/>
      <c r="G46" s="809"/>
      <c r="H46" s="694"/>
      <c r="I46" s="694"/>
      <c r="J46" s="694"/>
    </row>
    <row r="47" spans="1:19">
      <c r="F47" s="809"/>
      <c r="G47" s="809"/>
      <c r="I47" s="694"/>
      <c r="J47" s="694"/>
    </row>
    <row r="48" spans="1:19">
      <c r="A48" s="694"/>
      <c r="B48" s="694"/>
      <c r="C48" s="694"/>
      <c r="D48" s="694"/>
      <c r="E48" s="694"/>
      <c r="F48" s="694"/>
      <c r="G48" s="694"/>
      <c r="H48" s="694"/>
      <c r="I48" s="694"/>
      <c r="J48" s="694"/>
    </row>
    <row r="49" spans="1:10">
      <c r="A49" s="694"/>
      <c r="B49" s="694"/>
      <c r="C49" s="694"/>
      <c r="D49" s="694"/>
      <c r="E49" s="694"/>
      <c r="F49" s="694"/>
      <c r="G49" s="694"/>
      <c r="H49" s="694"/>
      <c r="I49" s="694"/>
      <c r="J49" s="694"/>
    </row>
    <row r="50" spans="1:10">
      <c r="A50" s="694"/>
      <c r="B50" s="694"/>
      <c r="C50" s="694"/>
      <c r="D50" s="694"/>
      <c r="E50" s="694"/>
      <c r="F50" s="694"/>
      <c r="G50" s="694"/>
      <c r="H50" s="694"/>
      <c r="I50" s="694"/>
      <c r="J50" s="694"/>
    </row>
    <row r="51" spans="1:10">
      <c r="A51" s="694"/>
      <c r="B51" s="694"/>
      <c r="C51" s="694"/>
      <c r="D51" s="694"/>
      <c r="E51" s="694"/>
      <c r="F51" s="694"/>
      <c r="G51" s="694"/>
      <c r="H51" s="694"/>
      <c r="I51" s="694"/>
      <c r="J51" s="694"/>
    </row>
    <row r="52" spans="1:10">
      <c r="A52" s="694"/>
      <c r="B52" s="694"/>
      <c r="C52" s="694"/>
      <c r="D52" s="694"/>
      <c r="E52" s="694"/>
      <c r="F52" s="694"/>
      <c r="G52" s="694"/>
      <c r="H52" s="694"/>
      <c r="I52" s="694"/>
      <c r="J52" s="694"/>
    </row>
    <row r="53" spans="1:10">
      <c r="A53" s="694"/>
      <c r="B53" s="694"/>
      <c r="C53" s="694"/>
      <c r="D53" s="694"/>
      <c r="E53" s="694"/>
      <c r="F53" s="694"/>
      <c r="G53" s="694"/>
      <c r="H53" s="694"/>
      <c r="I53" s="694"/>
      <c r="J53" s="694"/>
    </row>
    <row r="54" spans="1:10">
      <c r="H54" s="694"/>
      <c r="I54" s="694"/>
      <c r="J54" s="694"/>
    </row>
    <row r="55" spans="1:10">
      <c r="H55" s="711"/>
      <c r="I55" s="711"/>
      <c r="J55" s="711"/>
    </row>
    <row r="58" spans="1:10">
      <c r="H58" s="711"/>
      <c r="I58" s="711"/>
      <c r="J58" s="711"/>
    </row>
    <row r="59" spans="1:10">
      <c r="H59" s="711"/>
      <c r="I59" s="711"/>
      <c r="J59" s="711"/>
    </row>
    <row r="60" spans="1:10">
      <c r="H60" s="711"/>
      <c r="I60" s="711"/>
      <c r="J60" s="711"/>
    </row>
    <row r="61" spans="1:10">
      <c r="H61" s="711"/>
      <c r="I61" s="711"/>
      <c r="J61" s="711"/>
    </row>
    <row r="63" spans="1:10">
      <c r="H63" s="711"/>
      <c r="I63" s="711"/>
      <c r="J63" s="711"/>
    </row>
    <row r="64" spans="1:10">
      <c r="H64" s="711"/>
      <c r="I64" s="711"/>
      <c r="J64" s="711"/>
    </row>
    <row r="65" spans="8:10">
      <c r="H65" s="711"/>
      <c r="I65" s="711"/>
      <c r="J65" s="711"/>
    </row>
    <row r="66" spans="8:10">
      <c r="H66" s="711"/>
      <c r="I66" s="711"/>
      <c r="J66" s="711"/>
    </row>
    <row r="67" spans="8:10">
      <c r="H67" s="711"/>
      <c r="I67" s="711"/>
      <c r="J67" s="711"/>
    </row>
    <row r="68" spans="8:10">
      <c r="H68" s="711"/>
      <c r="I68" s="711"/>
      <c r="J68" s="711"/>
    </row>
    <row r="69" spans="8:10">
      <c r="H69" s="711"/>
      <c r="I69" s="711"/>
      <c r="J69" s="711"/>
    </row>
    <row r="70" spans="8:10">
      <c r="H70" s="711"/>
      <c r="I70" s="711"/>
      <c r="J70" s="711"/>
    </row>
    <row r="71" spans="8:10">
      <c r="H71" s="711"/>
      <c r="I71" s="711"/>
      <c r="J71" s="711"/>
    </row>
    <row r="72" spans="8:10">
      <c r="H72" s="711"/>
      <c r="I72" s="711"/>
      <c r="J72" s="711"/>
    </row>
    <row r="73" spans="8:10">
      <c r="H73" s="694"/>
      <c r="I73" s="694"/>
      <c r="J73" s="694"/>
    </row>
    <row r="74" spans="8:10">
      <c r="H74" s="711"/>
      <c r="I74" s="711"/>
      <c r="J74" s="711"/>
    </row>
    <row r="75" spans="8:10">
      <c r="H75" s="694"/>
      <c r="I75" s="694"/>
      <c r="J75" s="694"/>
    </row>
    <row r="76" spans="8:10">
      <c r="H76" s="694"/>
      <c r="I76" s="694"/>
      <c r="J76" s="694"/>
    </row>
    <row r="77" spans="8:10">
      <c r="H77" s="694"/>
      <c r="I77" s="694"/>
      <c r="J77" s="694"/>
    </row>
    <row r="78" spans="8:10">
      <c r="H78" s="711"/>
      <c r="I78" s="711"/>
      <c r="J78" s="694"/>
    </row>
    <row r="79" spans="8:10">
      <c r="H79" s="694"/>
      <c r="I79" s="694"/>
      <c r="J79" s="711"/>
    </row>
    <row r="80" spans="8:10">
      <c r="H80" s="694"/>
      <c r="I80" s="694"/>
      <c r="J80" s="694"/>
    </row>
    <row r="81" spans="1:9" s="694" customFormat="1">
      <c r="A81" s="809"/>
      <c r="B81" s="809"/>
      <c r="C81" s="809"/>
      <c r="D81" s="809"/>
      <c r="E81" s="809"/>
      <c r="F81" s="797"/>
      <c r="G81" s="797"/>
    </row>
    <row r="82" spans="1:9" s="694" customFormat="1">
      <c r="A82" s="809"/>
      <c r="B82" s="809"/>
      <c r="C82" s="809"/>
      <c r="D82" s="809"/>
      <c r="E82" s="809"/>
      <c r="F82" s="797"/>
      <c r="G82" s="797"/>
    </row>
    <row r="83" spans="1:9" s="694" customFormat="1">
      <c r="A83" s="809"/>
      <c r="B83" s="809"/>
      <c r="C83" s="809"/>
      <c r="D83" s="809"/>
      <c r="E83" s="809"/>
      <c r="F83" s="797"/>
      <c r="G83" s="797"/>
    </row>
    <row r="84" spans="1:9" s="694" customFormat="1">
      <c r="A84" s="809"/>
      <c r="B84" s="809"/>
      <c r="C84" s="809"/>
      <c r="D84" s="809"/>
      <c r="E84" s="809"/>
      <c r="F84" s="797"/>
      <c r="G84" s="797"/>
    </row>
    <row r="85" spans="1:9" s="694" customFormat="1">
      <c r="A85" s="809"/>
      <c r="B85" s="809"/>
      <c r="C85" s="809"/>
      <c r="D85" s="809"/>
      <c r="E85" s="809"/>
      <c r="F85" s="797"/>
      <c r="G85" s="797"/>
    </row>
    <row r="86" spans="1:9" s="694" customFormat="1">
      <c r="A86" s="809"/>
      <c r="B86" s="809"/>
      <c r="C86" s="809"/>
      <c r="D86" s="809"/>
      <c r="E86" s="809"/>
      <c r="F86" s="797"/>
      <c r="G86" s="797"/>
    </row>
    <row r="87" spans="1:9" s="694" customFormat="1">
      <c r="A87" s="809"/>
      <c r="B87" s="809"/>
      <c r="C87" s="809"/>
      <c r="D87" s="809"/>
      <c r="E87" s="809"/>
      <c r="F87" s="797"/>
      <c r="G87" s="797"/>
      <c r="H87" s="809"/>
      <c r="I87" s="809"/>
    </row>
    <row r="88" spans="1:9" s="694" customFormat="1">
      <c r="A88" s="809"/>
      <c r="B88" s="809"/>
      <c r="C88" s="809"/>
      <c r="D88" s="809"/>
      <c r="E88" s="809"/>
      <c r="F88" s="797"/>
      <c r="G88" s="797"/>
      <c r="H88" s="809"/>
      <c r="I88" s="809"/>
    </row>
    <row r="89" spans="1:9" s="694" customFormat="1">
      <c r="A89" s="809"/>
      <c r="B89" s="809"/>
      <c r="C89" s="809"/>
      <c r="D89" s="809"/>
      <c r="E89" s="809"/>
      <c r="F89" s="797"/>
      <c r="G89" s="797"/>
      <c r="H89" s="809"/>
      <c r="I89" s="809"/>
    </row>
    <row r="90" spans="1:9" s="694" customFormat="1">
      <c r="A90" s="809"/>
      <c r="B90" s="809"/>
      <c r="C90" s="809"/>
      <c r="D90" s="809"/>
      <c r="E90" s="809"/>
      <c r="F90" s="797"/>
      <c r="G90" s="797"/>
      <c r="H90" s="809"/>
      <c r="I90" s="809"/>
    </row>
    <row r="91" spans="1:9" s="694" customFormat="1">
      <c r="A91" s="809"/>
      <c r="B91" s="809"/>
      <c r="C91" s="809"/>
      <c r="D91" s="809"/>
      <c r="E91" s="809"/>
      <c r="F91" s="797"/>
      <c r="G91" s="797"/>
      <c r="H91" s="809"/>
      <c r="I91" s="809"/>
    </row>
    <row r="92" spans="1:9" s="694" customFormat="1">
      <c r="A92" s="809"/>
      <c r="B92" s="809"/>
      <c r="C92" s="809"/>
      <c r="D92" s="809"/>
      <c r="E92" s="809"/>
      <c r="F92" s="797"/>
      <c r="G92" s="797"/>
      <c r="H92" s="809"/>
      <c r="I92" s="809"/>
    </row>
    <row r="93" spans="1:9" s="694" customFormat="1">
      <c r="A93" s="809"/>
      <c r="B93" s="809"/>
      <c r="C93" s="809"/>
      <c r="D93" s="809"/>
      <c r="E93" s="809"/>
      <c r="F93" s="797"/>
      <c r="G93" s="797"/>
      <c r="H93" s="809"/>
      <c r="I93" s="809"/>
    </row>
    <row r="94" spans="1:9" s="694" customFormat="1">
      <c r="A94" s="809"/>
      <c r="B94" s="809"/>
      <c r="C94" s="809"/>
      <c r="D94" s="809"/>
      <c r="E94" s="809"/>
      <c r="F94" s="797"/>
      <c r="G94" s="797"/>
      <c r="H94" s="809"/>
      <c r="I94" s="809"/>
    </row>
    <row r="95" spans="1:9" s="694" customFormat="1">
      <c r="A95" s="809"/>
      <c r="B95" s="809"/>
      <c r="C95" s="809"/>
      <c r="D95" s="809"/>
      <c r="E95" s="809"/>
      <c r="F95" s="797"/>
      <c r="G95" s="797"/>
      <c r="H95" s="809"/>
      <c r="I95" s="809"/>
    </row>
    <row r="96" spans="1:9" s="694" customFormat="1">
      <c r="A96" s="809"/>
      <c r="B96" s="809"/>
      <c r="C96" s="809"/>
      <c r="D96" s="809"/>
      <c r="E96" s="809"/>
      <c r="F96" s="797"/>
      <c r="G96" s="797"/>
      <c r="H96" s="809"/>
      <c r="I96" s="809"/>
    </row>
    <row r="97" spans="1:9" s="694" customFormat="1">
      <c r="A97" s="809"/>
      <c r="B97" s="809"/>
      <c r="C97" s="809"/>
      <c r="D97" s="809"/>
      <c r="E97" s="809"/>
      <c r="F97" s="797"/>
      <c r="G97" s="797"/>
      <c r="H97" s="809"/>
      <c r="I97" s="809"/>
    </row>
    <row r="98" spans="1:9" s="694" customFormat="1">
      <c r="A98" s="809"/>
      <c r="B98" s="809"/>
      <c r="C98" s="809"/>
      <c r="D98" s="809"/>
      <c r="E98" s="809"/>
      <c r="F98" s="797"/>
      <c r="G98" s="797"/>
      <c r="H98" s="809"/>
      <c r="I98" s="809"/>
    </row>
    <row r="99" spans="1:9" s="694" customFormat="1">
      <c r="A99" s="809"/>
      <c r="B99" s="809"/>
      <c r="C99" s="809"/>
      <c r="D99" s="809"/>
      <c r="E99" s="809"/>
      <c r="F99" s="797"/>
      <c r="G99" s="797"/>
      <c r="H99" s="809"/>
      <c r="I99" s="809"/>
    </row>
    <row r="100" spans="1:9" s="694" customFormat="1">
      <c r="A100" s="809"/>
      <c r="B100" s="809"/>
      <c r="C100" s="809"/>
      <c r="D100" s="809"/>
      <c r="E100" s="809"/>
      <c r="F100" s="797"/>
      <c r="G100" s="797"/>
      <c r="H100" s="809"/>
      <c r="I100" s="809"/>
    </row>
    <row r="101" spans="1:9" s="694" customFormat="1">
      <c r="A101" s="809"/>
      <c r="B101" s="809"/>
      <c r="C101" s="809"/>
      <c r="D101" s="809"/>
      <c r="E101" s="809"/>
      <c r="F101" s="797"/>
      <c r="G101" s="797"/>
      <c r="H101" s="809"/>
      <c r="I101" s="809"/>
    </row>
    <row r="102" spans="1:9" s="694" customFormat="1">
      <c r="A102" s="809"/>
      <c r="B102" s="809"/>
      <c r="C102" s="809"/>
      <c r="D102" s="809"/>
      <c r="E102" s="809"/>
      <c r="F102" s="797"/>
      <c r="G102" s="797"/>
      <c r="H102" s="809"/>
      <c r="I102" s="809"/>
    </row>
    <row r="103" spans="1:9" s="694" customFormat="1">
      <c r="A103" s="809"/>
      <c r="B103" s="809"/>
      <c r="C103" s="809"/>
      <c r="D103" s="809"/>
      <c r="E103" s="809"/>
      <c r="F103" s="797"/>
      <c r="G103" s="797"/>
      <c r="H103" s="809"/>
      <c r="I103" s="809"/>
    </row>
    <row r="104" spans="1:9" s="694" customFormat="1">
      <c r="A104" s="809"/>
      <c r="B104" s="809"/>
      <c r="C104" s="809"/>
      <c r="D104" s="809"/>
      <c r="E104" s="809"/>
      <c r="F104" s="797"/>
      <c r="G104" s="797"/>
      <c r="H104" s="809"/>
      <c r="I104" s="809"/>
    </row>
    <row r="105" spans="1:9" s="694" customFormat="1">
      <c r="A105" s="809"/>
      <c r="B105" s="809"/>
      <c r="C105" s="809"/>
      <c r="D105" s="809"/>
      <c r="E105" s="809"/>
      <c r="F105" s="797"/>
      <c r="G105" s="797"/>
      <c r="H105" s="809"/>
      <c r="I105" s="809"/>
    </row>
    <row r="106" spans="1:9" s="694" customFormat="1">
      <c r="A106" s="809"/>
      <c r="B106" s="809"/>
      <c r="C106" s="809"/>
      <c r="D106" s="809"/>
      <c r="E106" s="809"/>
      <c r="F106" s="797"/>
      <c r="G106" s="797"/>
      <c r="H106" s="809"/>
      <c r="I106" s="809"/>
    </row>
  </sheetData>
  <mergeCells count="12">
    <mergeCell ref="A40:S40"/>
    <mergeCell ref="A32:D32"/>
    <mergeCell ref="A36:D36"/>
    <mergeCell ref="A29:G29"/>
    <mergeCell ref="A30:G30"/>
    <mergeCell ref="F1:K1"/>
    <mergeCell ref="A4:B4"/>
    <mergeCell ref="B1:E1"/>
    <mergeCell ref="A11:B11"/>
    <mergeCell ref="A21:B21"/>
    <mergeCell ref="D11:E11"/>
    <mergeCell ref="A9:S9"/>
  </mergeCells>
  <pageMargins left="0.7" right="0.7" top="0.75" bottom="0.75" header="0.3" footer="0.3"/>
  <pageSetup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00"/>
  </sheetPr>
  <dimension ref="A1:T76"/>
  <sheetViews>
    <sheetView topLeftCell="A7" zoomScale="85" zoomScaleNormal="85" workbookViewId="0">
      <selection activeCell="E17" sqref="E17"/>
    </sheetView>
  </sheetViews>
  <sheetFormatPr baseColWidth="10" defaultColWidth="8.85546875" defaultRowHeight="15.75"/>
  <cols>
    <col min="1" max="1" width="27" style="694" customWidth="1"/>
    <col min="2" max="3" width="26.7109375" style="694" bestFit="1" customWidth="1"/>
    <col min="4" max="4" width="40.140625" style="694" bestFit="1" customWidth="1"/>
    <col min="5" max="5" width="18" style="694" bestFit="1" customWidth="1"/>
    <col min="6" max="6" width="34.28515625" style="694" customWidth="1"/>
    <col min="7" max="7" width="29" style="694" bestFit="1" customWidth="1"/>
    <col min="8" max="8" width="21.28515625" style="694" bestFit="1" customWidth="1"/>
    <col min="9" max="9" width="25.42578125" style="694" customWidth="1"/>
    <col min="10" max="10" width="26.5703125" style="694" bestFit="1" customWidth="1"/>
    <col min="11" max="12" width="21.28515625" style="694" bestFit="1" customWidth="1"/>
    <col min="13" max="13" width="24" style="694" customWidth="1"/>
    <col min="14" max="14" width="26.5703125" style="694" bestFit="1" customWidth="1"/>
    <col min="15" max="15" width="23.5703125" style="694" customWidth="1"/>
    <col min="16" max="16" width="21.28515625" style="694" bestFit="1" customWidth="1"/>
    <col min="17" max="17" width="23.7109375" style="694" customWidth="1"/>
    <col min="18" max="18" width="26.5703125" style="765" bestFit="1" customWidth="1"/>
    <col min="19" max="19" width="27.140625" style="694" customWidth="1"/>
    <col min="20" max="37" width="9.5703125" style="694" customWidth="1"/>
    <col min="38" max="16384" width="8.85546875" style="694"/>
  </cols>
  <sheetData>
    <row r="1" spans="1:20" ht="48" customHeight="1" thickBot="1">
      <c r="A1" s="825" t="s">
        <v>551</v>
      </c>
      <c r="B1" s="2045" t="s">
        <v>552</v>
      </c>
      <c r="C1" s="2022"/>
      <c r="D1" s="2022"/>
      <c r="E1" s="2023"/>
      <c r="H1" s="2001" t="s">
        <v>414</v>
      </c>
      <c r="I1" s="2002"/>
      <c r="J1" s="2002"/>
      <c r="K1" s="2002"/>
      <c r="L1" s="2002"/>
      <c r="M1" s="2003"/>
    </row>
    <row r="2" spans="1:20">
      <c r="H2" s="733" t="s">
        <v>415</v>
      </c>
      <c r="I2" s="734"/>
      <c r="J2" s="735" t="s">
        <v>416</v>
      </c>
      <c r="K2" s="736"/>
      <c r="L2" s="735" t="s">
        <v>417</v>
      </c>
      <c r="M2" s="737"/>
    </row>
    <row r="4" spans="1:20" ht="37.5">
      <c r="A4" s="738"/>
      <c r="B4" s="692" t="s">
        <v>553</v>
      </c>
    </row>
    <row r="5" spans="1:20" ht="37.5">
      <c r="A5" s="692" t="s">
        <v>554</v>
      </c>
      <c r="B5" s="700">
        <f>SUM(E16:E31)</f>
        <v>0</v>
      </c>
    </row>
    <row r="6" spans="1:20" ht="18.75">
      <c r="A6" s="692" t="s">
        <v>555</v>
      </c>
      <c r="B6" s="700">
        <f>D76</f>
        <v>0</v>
      </c>
    </row>
    <row r="7" spans="1:20" ht="37.5">
      <c r="A7" s="692" t="s">
        <v>556</v>
      </c>
      <c r="B7" s="700">
        <f>F76</f>
        <v>0</v>
      </c>
    </row>
    <row r="8" spans="1:20" ht="18.75">
      <c r="A8" s="692" t="s">
        <v>557</v>
      </c>
      <c r="B8" s="700">
        <f>SUM(I76,L76,O76)</f>
        <v>0</v>
      </c>
    </row>
    <row r="9" spans="1:20">
      <c r="P9" s="765"/>
      <c r="R9" s="694"/>
    </row>
    <row r="10" spans="1:20">
      <c r="P10" s="765"/>
      <c r="R10" s="694"/>
    </row>
    <row r="12" spans="1:20" ht="36">
      <c r="A12" s="1993" t="s">
        <v>558</v>
      </c>
      <c r="B12" s="2046"/>
      <c r="C12" s="2046"/>
      <c r="D12" s="2046"/>
      <c r="E12" s="2046"/>
      <c r="F12" s="2046"/>
      <c r="G12" s="2046"/>
      <c r="H12" s="2046"/>
      <c r="I12" s="2046"/>
      <c r="J12" s="2046"/>
      <c r="K12" s="2046"/>
      <c r="L12" s="2046"/>
      <c r="M12" s="2046"/>
      <c r="N12" s="2046"/>
      <c r="O12" s="2046"/>
      <c r="P12" s="2046"/>
      <c r="Q12" s="2046"/>
      <c r="R12" s="2046"/>
      <c r="S12" s="2046"/>
      <c r="T12" s="2046"/>
    </row>
    <row r="13" spans="1:20" s="765" customFormat="1" ht="21">
      <c r="A13" s="826" t="s">
        <v>559</v>
      </c>
    </row>
    <row r="14" spans="1:20" s="743" customFormat="1" ht="24" thickBot="1">
      <c r="A14" s="694"/>
      <c r="B14" s="694"/>
      <c r="C14" s="694"/>
      <c r="D14" s="2014" t="s">
        <v>427</v>
      </c>
      <c r="E14" s="2015"/>
      <c r="G14" s="694"/>
      <c r="H14" s="694"/>
      <c r="I14" s="694"/>
      <c r="J14" s="694"/>
      <c r="K14" s="694"/>
      <c r="L14" s="694"/>
      <c r="M14" s="694"/>
      <c r="N14" s="694"/>
      <c r="O14" s="694"/>
      <c r="P14" s="694"/>
      <c r="Q14" s="694"/>
    </row>
    <row r="15" spans="1:20" s="831" customFormat="1" ht="48" customHeight="1">
      <c r="A15" s="827" t="s">
        <v>428</v>
      </c>
      <c r="B15" s="828" t="s">
        <v>560</v>
      </c>
      <c r="C15" s="828" t="s">
        <v>561</v>
      </c>
      <c r="D15" s="829" t="s">
        <v>562</v>
      </c>
      <c r="E15" s="830" t="s">
        <v>563</v>
      </c>
      <c r="G15" s="832"/>
      <c r="H15" s="832"/>
      <c r="I15" s="832"/>
      <c r="J15" s="832"/>
    </row>
    <row r="16" spans="1:20" s="765" customFormat="1">
      <c r="A16" s="833"/>
      <c r="B16" s="770"/>
      <c r="C16" s="834">
        <f>B16*0.001</f>
        <v>0</v>
      </c>
      <c r="D16" s="770">
        <v>3.7109999999999999</v>
      </c>
      <c r="E16" s="1579">
        <f>((C16*D16*0.1949)*('Emission Factors'!D142/1000))/100*66</f>
        <v>0</v>
      </c>
      <c r="F16" s="765" t="s">
        <v>564</v>
      </c>
      <c r="G16" s="1393" t="s">
        <v>565</v>
      </c>
      <c r="H16" s="835"/>
      <c r="I16" s="835"/>
      <c r="J16" s="835"/>
    </row>
    <row r="17" spans="1:5" s="765" customFormat="1">
      <c r="A17" s="833"/>
      <c r="B17" s="770"/>
      <c r="C17" s="834">
        <f t="shared" ref="C17:C31" si="0">B17*0.001</f>
        <v>0</v>
      </c>
      <c r="D17" s="770">
        <v>3.7109999999999999</v>
      </c>
      <c r="E17" s="1579">
        <f>((C17*D17*0.1949)*('Emission Factors'!D143/1000))/100*66</f>
        <v>0</v>
      </c>
    </row>
    <row r="18" spans="1:5" s="765" customFormat="1">
      <c r="A18" s="833"/>
      <c r="B18" s="770"/>
      <c r="C18" s="834">
        <f t="shared" si="0"/>
        <v>0</v>
      </c>
      <c r="D18" s="770">
        <v>3.7109999999999999</v>
      </c>
      <c r="E18" s="1579">
        <f>((C18*D18*0.1949)*('Emission Factors'!D144/1000))/100*66</f>
        <v>0</v>
      </c>
    </row>
    <row r="19" spans="1:5" s="765" customFormat="1">
      <c r="A19" s="833"/>
      <c r="B19" s="770"/>
      <c r="C19" s="834">
        <f t="shared" si="0"/>
        <v>0</v>
      </c>
      <c r="D19" s="770">
        <v>3.7109999999999999</v>
      </c>
      <c r="E19" s="1579">
        <f>((C19*D19*0.1949)*('Emission Factors'!D145/1000))/100*66</f>
        <v>0</v>
      </c>
    </row>
    <row r="20" spans="1:5" s="765" customFormat="1">
      <c r="A20" s="833"/>
      <c r="B20" s="770"/>
      <c r="C20" s="834">
        <f t="shared" si="0"/>
        <v>0</v>
      </c>
      <c r="D20" s="770">
        <v>3.7109999999999999</v>
      </c>
      <c r="E20" s="1579">
        <f>((C20*D20*0.1949)*('Emission Factors'!D146/1000))/100*66</f>
        <v>0</v>
      </c>
    </row>
    <row r="21" spans="1:5" s="765" customFormat="1">
      <c r="A21" s="836"/>
      <c r="B21" s="770"/>
      <c r="C21" s="834">
        <f t="shared" si="0"/>
        <v>0</v>
      </c>
      <c r="D21" s="770">
        <v>3.7109999999999999</v>
      </c>
      <c r="E21" s="1579">
        <f>((C21*D21*0.1949)*('Emission Factors'!D147/1000))/100*66</f>
        <v>0</v>
      </c>
    </row>
    <row r="22" spans="1:5" s="765" customFormat="1">
      <c r="A22" s="837"/>
      <c r="B22" s="770"/>
      <c r="C22" s="834">
        <f t="shared" si="0"/>
        <v>0</v>
      </c>
      <c r="D22" s="770">
        <v>3.7109999999999999</v>
      </c>
      <c r="E22" s="1579">
        <f>((C22*D22*0.1949)*('Emission Factors'!D148/1000))/100*66</f>
        <v>0</v>
      </c>
    </row>
    <row r="23" spans="1:5" s="765" customFormat="1">
      <c r="A23" s="836"/>
      <c r="B23" s="770"/>
      <c r="C23" s="834">
        <f t="shared" si="0"/>
        <v>0</v>
      </c>
      <c r="D23" s="770">
        <v>3.7109999999999999</v>
      </c>
      <c r="E23" s="1579">
        <f>((C23*D23*0.1949)*('Emission Factors'!D149/1000))/100*66</f>
        <v>0</v>
      </c>
    </row>
    <row r="24" spans="1:5" s="765" customFormat="1">
      <c r="A24" s="836"/>
      <c r="B24" s="770"/>
      <c r="C24" s="834">
        <f t="shared" si="0"/>
        <v>0</v>
      </c>
      <c r="D24" s="770">
        <v>3.7109999999999999</v>
      </c>
      <c r="E24" s="1579">
        <f>((C24*D24*0.1949)*('Emission Factors'!D150/1000))/100*66</f>
        <v>0</v>
      </c>
    </row>
    <row r="25" spans="1:5" s="765" customFormat="1">
      <c r="A25" s="836"/>
      <c r="B25" s="770"/>
      <c r="C25" s="834">
        <f t="shared" si="0"/>
        <v>0</v>
      </c>
      <c r="D25" s="770">
        <v>3.7109999999999999</v>
      </c>
      <c r="E25" s="1579">
        <f>((C25*D25*0.1949)*('Emission Factors'!D151/1000))/100*66</f>
        <v>0</v>
      </c>
    </row>
    <row r="26" spans="1:5" s="765" customFormat="1">
      <c r="A26" s="836"/>
      <c r="B26" s="770"/>
      <c r="C26" s="834">
        <f t="shared" si="0"/>
        <v>0</v>
      </c>
      <c r="D26" s="770">
        <v>3.7109999999999999</v>
      </c>
      <c r="E26" s="1579">
        <f>((C26*D26*0.1949)*('Emission Factors'!D152/1000))/100*66</f>
        <v>0</v>
      </c>
    </row>
    <row r="27" spans="1:5" s="765" customFormat="1">
      <c r="A27" s="836"/>
      <c r="B27" s="770"/>
      <c r="C27" s="834">
        <f t="shared" si="0"/>
        <v>0</v>
      </c>
      <c r="D27" s="770">
        <v>3.7109999999999999</v>
      </c>
      <c r="E27" s="1579">
        <f>((C27*D27*0.1949)*('Emission Factors'!D153/1000))/100*66</f>
        <v>0</v>
      </c>
    </row>
    <row r="28" spans="1:5" s="765" customFormat="1">
      <c r="A28" s="836"/>
      <c r="B28" s="770"/>
      <c r="C28" s="834">
        <f t="shared" si="0"/>
        <v>0</v>
      </c>
      <c r="D28" s="770">
        <v>3.7109999999999999</v>
      </c>
      <c r="E28" s="1579">
        <f>((C28*D28*0.1949)*('Emission Factors'!D154/1000))/100*66</f>
        <v>0</v>
      </c>
    </row>
    <row r="29" spans="1:5" s="765" customFormat="1">
      <c r="A29" s="836"/>
      <c r="B29" s="770"/>
      <c r="C29" s="834">
        <f t="shared" si="0"/>
        <v>0</v>
      </c>
      <c r="D29" s="770">
        <v>3.7109999999999999</v>
      </c>
      <c r="E29" s="1579">
        <f>((C29*D29*0.1949)*('Emission Factors'!D155/1000))/100*66</f>
        <v>0</v>
      </c>
    </row>
    <row r="30" spans="1:5" s="765" customFormat="1">
      <c r="A30" s="836"/>
      <c r="B30" s="770"/>
      <c r="C30" s="834">
        <f t="shared" si="0"/>
        <v>0</v>
      </c>
      <c r="D30" s="770">
        <v>3.7109999999999999</v>
      </c>
      <c r="E30" s="1579">
        <f>((C30*D30*0.1949)*('Emission Factors'!D156/1000))/100*66</f>
        <v>0</v>
      </c>
    </row>
    <row r="31" spans="1:5" s="765" customFormat="1">
      <c r="A31" s="838"/>
      <c r="B31" s="770"/>
      <c r="C31" s="834">
        <f t="shared" si="0"/>
        <v>0</v>
      </c>
      <c r="D31" s="770">
        <v>3.7109999999999999</v>
      </c>
      <c r="E31" s="1579">
        <f>((C31*D31*0.1949)*('Emission Factors'!D157/1000))/100*66</f>
        <v>0</v>
      </c>
    </row>
    <row r="32" spans="1:5" s="765" customFormat="1" ht="15">
      <c r="A32" s="839" t="s">
        <v>566</v>
      </c>
    </row>
    <row r="33" spans="1:20" ht="23.25">
      <c r="G33" s="743"/>
      <c r="H33" s="743"/>
      <c r="I33" s="743"/>
      <c r="J33" s="743"/>
      <c r="K33" s="743"/>
      <c r="L33" s="743"/>
      <c r="M33" s="743"/>
      <c r="N33" s="743"/>
      <c r="O33" s="743"/>
      <c r="P33" s="743"/>
      <c r="Q33" s="743"/>
    </row>
    <row r="35" spans="1:20" ht="36">
      <c r="A35" s="1993" t="s">
        <v>567</v>
      </c>
      <c r="B35" s="2046"/>
      <c r="C35" s="2046"/>
      <c r="D35" s="2046"/>
      <c r="E35" s="2046"/>
      <c r="F35" s="2046"/>
      <c r="G35" s="2046"/>
      <c r="H35" s="2046"/>
      <c r="I35" s="2046"/>
      <c r="J35" s="2046"/>
      <c r="K35" s="2046"/>
      <c r="L35" s="2046"/>
      <c r="M35" s="2046"/>
      <c r="N35" s="2046"/>
      <c r="O35" s="2046"/>
      <c r="P35" s="2046"/>
      <c r="Q35" s="2046"/>
      <c r="R35" s="2046"/>
      <c r="S35" s="2046"/>
      <c r="T35" s="2046"/>
    </row>
    <row r="36" spans="1:20" ht="21">
      <c r="A36" s="826" t="s">
        <v>568</v>
      </c>
    </row>
    <row r="37" spans="1:20" s="743" customFormat="1" ht="26.25" customHeight="1" thickBot="1">
      <c r="A37" s="724"/>
      <c r="C37" s="840"/>
      <c r="D37" s="2012" t="s">
        <v>427</v>
      </c>
      <c r="E37" s="2013"/>
    </row>
    <row r="38" spans="1:20" s="765" customFormat="1" ht="53.1" customHeight="1">
      <c r="B38" s="2041" t="s">
        <v>555</v>
      </c>
      <c r="C38" s="2042"/>
      <c r="D38" s="2043"/>
      <c r="E38" s="2039" t="s">
        <v>556</v>
      </c>
      <c r="F38" s="2040"/>
      <c r="G38" s="2041" t="s">
        <v>569</v>
      </c>
      <c r="H38" s="2042"/>
      <c r="I38" s="2043"/>
      <c r="J38" s="2039" t="s">
        <v>570</v>
      </c>
      <c r="K38" s="2044"/>
      <c r="L38" s="2040"/>
      <c r="M38" s="2041" t="s">
        <v>571</v>
      </c>
      <c r="N38" s="2042"/>
      <c r="O38" s="2043"/>
      <c r="P38" s="2036" t="s">
        <v>2448</v>
      </c>
      <c r="Q38" s="2037"/>
      <c r="R38" s="2038"/>
    </row>
    <row r="39" spans="1:20" s="765" customFormat="1" ht="93.75">
      <c r="A39" s="841" t="s">
        <v>428</v>
      </c>
      <c r="B39" s="842" t="s">
        <v>572</v>
      </c>
      <c r="C39" s="692" t="s">
        <v>573</v>
      </c>
      <c r="D39" s="843" t="s">
        <v>574</v>
      </c>
      <c r="E39" s="692" t="s">
        <v>575</v>
      </c>
      <c r="F39" s="844" t="s">
        <v>576</v>
      </c>
      <c r="G39" s="845" t="s">
        <v>577</v>
      </c>
      <c r="H39" s="846" t="s">
        <v>578</v>
      </c>
      <c r="I39" s="847" t="s">
        <v>579</v>
      </c>
      <c r="J39" s="845" t="s">
        <v>577</v>
      </c>
      <c r="K39" s="846" t="s">
        <v>578</v>
      </c>
      <c r="L39" s="847" t="s">
        <v>580</v>
      </c>
      <c r="M39" s="845" t="s">
        <v>577</v>
      </c>
      <c r="N39" s="846" t="s">
        <v>578</v>
      </c>
      <c r="O39" s="847" t="s">
        <v>581</v>
      </c>
      <c r="P39" s="1549" t="s">
        <v>577</v>
      </c>
      <c r="Q39" s="1550" t="s">
        <v>578</v>
      </c>
      <c r="R39" s="1551" t="s">
        <v>2449</v>
      </c>
    </row>
    <row r="40" spans="1:20" s="765" customFormat="1" ht="15">
      <c r="A40" s="848"/>
      <c r="B40" s="849"/>
      <c r="C40" s="850">
        <f>B40/1000</f>
        <v>0</v>
      </c>
      <c r="D40" s="851">
        <f>C40*1.10231*'Emission Factors'!$B$671</f>
        <v>0</v>
      </c>
      <c r="E40" s="849"/>
      <c r="F40" s="852">
        <f>E40*'Emission Factors'!$B$663/1000</f>
        <v>0</v>
      </c>
      <c r="G40" s="849"/>
      <c r="H40" s="853">
        <f>G40*0.001</f>
        <v>0</v>
      </c>
      <c r="I40" s="1554">
        <f>H40*'Emission Factors'!$B$640</f>
        <v>0</v>
      </c>
      <c r="J40" s="849"/>
      <c r="K40" s="853">
        <f>J40*0.001</f>
        <v>0</v>
      </c>
      <c r="L40" s="852">
        <f>K40*'Emission Factors'!$B$641</f>
        <v>0</v>
      </c>
      <c r="M40" s="849"/>
      <c r="N40" s="853">
        <f>M40*0.001</f>
        <v>0</v>
      </c>
      <c r="O40" s="852">
        <f>N40*'Emission Factors'!$B$642</f>
        <v>0</v>
      </c>
      <c r="P40" s="1552"/>
      <c r="Q40" s="1553">
        <f>P40*0.001</f>
        <v>0</v>
      </c>
      <c r="R40" s="1554">
        <f>Q40*'Emission Factors'!$B$639</f>
        <v>0</v>
      </c>
    </row>
    <row r="41" spans="1:20" s="765" customFormat="1" ht="15">
      <c r="A41" s="848"/>
      <c r="B41" s="849"/>
      <c r="C41" s="850">
        <f t="shared" ref="C41:C75" si="1">B41/1000</f>
        <v>0</v>
      </c>
      <c r="D41" s="851">
        <f>C41*1.10231*'Emission Factors'!$B$671</f>
        <v>0</v>
      </c>
      <c r="E41" s="849"/>
      <c r="F41" s="852">
        <f>E41*'Emission Factors'!$B$663/1000</f>
        <v>0</v>
      </c>
      <c r="G41" s="849"/>
      <c r="H41" s="853">
        <f t="shared" ref="H41:H75" si="2">G41*0.001</f>
        <v>0</v>
      </c>
      <c r="I41" s="1554">
        <f>H41*'Emission Factors'!$B$640</f>
        <v>0</v>
      </c>
      <c r="J41" s="849"/>
      <c r="K41" s="853">
        <f t="shared" ref="K41:K75" si="3">J41*0.001</f>
        <v>0</v>
      </c>
      <c r="L41" s="852">
        <f>K41*'Emission Factors'!$B$641</f>
        <v>0</v>
      </c>
      <c r="M41" s="849"/>
      <c r="N41" s="853">
        <f t="shared" ref="N41:N75" si="4">M41*0.001</f>
        <v>0</v>
      </c>
      <c r="O41" s="852">
        <f>N41*'Emission Factors'!$B$642</f>
        <v>0</v>
      </c>
      <c r="P41" s="1552"/>
      <c r="Q41" s="1553">
        <f t="shared" ref="Q41:Q75" si="5">P41*0.001</f>
        <v>0</v>
      </c>
      <c r="R41" s="1554">
        <f>Q41*'Emission Factors'!$B$639</f>
        <v>0</v>
      </c>
    </row>
    <row r="42" spans="1:20" s="765" customFormat="1" ht="15">
      <c r="A42" s="848"/>
      <c r="B42" s="849"/>
      <c r="C42" s="850">
        <f t="shared" si="1"/>
        <v>0</v>
      </c>
      <c r="D42" s="851">
        <f>C42*1.10231*'Emission Factors'!$B$671</f>
        <v>0</v>
      </c>
      <c r="E42" s="849"/>
      <c r="F42" s="852">
        <f>E42*'Emission Factors'!$B$663/1000</f>
        <v>0</v>
      </c>
      <c r="G42" s="849"/>
      <c r="H42" s="853">
        <f t="shared" si="2"/>
        <v>0</v>
      </c>
      <c r="I42" s="1554">
        <f>H42*'Emission Factors'!$B$640</f>
        <v>0</v>
      </c>
      <c r="J42" s="849"/>
      <c r="K42" s="853">
        <f t="shared" si="3"/>
        <v>0</v>
      </c>
      <c r="L42" s="852">
        <f>K42*'Emission Factors'!$B$641</f>
        <v>0</v>
      </c>
      <c r="M42" s="849"/>
      <c r="N42" s="853">
        <f t="shared" si="4"/>
        <v>0</v>
      </c>
      <c r="O42" s="852">
        <f>N42*'Emission Factors'!$B$642</f>
        <v>0</v>
      </c>
      <c r="P42" s="1552"/>
      <c r="Q42" s="1553">
        <f t="shared" si="5"/>
        <v>0</v>
      </c>
      <c r="R42" s="1554">
        <f>Q42*'Emission Factors'!$B$639</f>
        <v>0</v>
      </c>
    </row>
    <row r="43" spans="1:20" s="765" customFormat="1" ht="15">
      <c r="A43" s="848"/>
      <c r="B43" s="849"/>
      <c r="C43" s="850">
        <f t="shared" si="1"/>
        <v>0</v>
      </c>
      <c r="D43" s="851">
        <f>C43*1.10231*'Emission Factors'!$B$671</f>
        <v>0</v>
      </c>
      <c r="E43" s="849"/>
      <c r="F43" s="852">
        <f>E43*'Emission Factors'!$B$663/1000</f>
        <v>0</v>
      </c>
      <c r="G43" s="849"/>
      <c r="H43" s="853">
        <f t="shared" si="2"/>
        <v>0</v>
      </c>
      <c r="I43" s="1554">
        <f>H43*'Emission Factors'!$B$640</f>
        <v>0</v>
      </c>
      <c r="J43" s="849"/>
      <c r="K43" s="853">
        <f t="shared" si="3"/>
        <v>0</v>
      </c>
      <c r="L43" s="852">
        <f>K43*'Emission Factors'!$B$641</f>
        <v>0</v>
      </c>
      <c r="M43" s="849"/>
      <c r="N43" s="853">
        <f t="shared" si="4"/>
        <v>0</v>
      </c>
      <c r="O43" s="852">
        <f>N43*'Emission Factors'!$B$642</f>
        <v>0</v>
      </c>
      <c r="P43" s="1552"/>
      <c r="Q43" s="1553">
        <f t="shared" si="5"/>
        <v>0</v>
      </c>
      <c r="R43" s="1554">
        <f>Q43*'Emission Factors'!$B$639</f>
        <v>0</v>
      </c>
    </row>
    <row r="44" spans="1:20" s="765" customFormat="1" ht="15">
      <c r="A44" s="848"/>
      <c r="B44" s="849"/>
      <c r="C44" s="850">
        <f t="shared" si="1"/>
        <v>0</v>
      </c>
      <c r="D44" s="851">
        <f>C44*1.10231*'Emission Factors'!$B$671</f>
        <v>0</v>
      </c>
      <c r="E44" s="849"/>
      <c r="F44" s="852">
        <f>E44*'Emission Factors'!$B$663/1000</f>
        <v>0</v>
      </c>
      <c r="G44" s="849"/>
      <c r="H44" s="853">
        <f t="shared" si="2"/>
        <v>0</v>
      </c>
      <c r="I44" s="1554">
        <f>H44*'Emission Factors'!$B$640</f>
        <v>0</v>
      </c>
      <c r="J44" s="849"/>
      <c r="K44" s="853">
        <f t="shared" si="3"/>
        <v>0</v>
      </c>
      <c r="L44" s="852">
        <f>K44*'Emission Factors'!$B$641</f>
        <v>0</v>
      </c>
      <c r="M44" s="849"/>
      <c r="N44" s="853">
        <f t="shared" si="4"/>
        <v>0</v>
      </c>
      <c r="O44" s="852">
        <f>N44*'Emission Factors'!$B$642</f>
        <v>0</v>
      </c>
      <c r="P44" s="1552"/>
      <c r="Q44" s="1553">
        <f t="shared" si="5"/>
        <v>0</v>
      </c>
      <c r="R44" s="1554">
        <f>Q44*'Emission Factors'!$B$639</f>
        <v>0</v>
      </c>
    </row>
    <row r="45" spans="1:20" s="765" customFormat="1" ht="15">
      <c r="A45" s="848"/>
      <c r="B45" s="849"/>
      <c r="C45" s="850">
        <f t="shared" si="1"/>
        <v>0</v>
      </c>
      <c r="D45" s="851">
        <f>C45*1.10231*'Emission Factors'!$B$671</f>
        <v>0</v>
      </c>
      <c r="E45" s="849"/>
      <c r="F45" s="852">
        <f>E45*'Emission Factors'!$B$663/1000</f>
        <v>0</v>
      </c>
      <c r="G45" s="849"/>
      <c r="H45" s="853">
        <f t="shared" si="2"/>
        <v>0</v>
      </c>
      <c r="I45" s="1554">
        <f>H45*'Emission Factors'!$B$640</f>
        <v>0</v>
      </c>
      <c r="J45" s="849"/>
      <c r="K45" s="853">
        <f t="shared" si="3"/>
        <v>0</v>
      </c>
      <c r="L45" s="852">
        <f>K45*'Emission Factors'!$B$641</f>
        <v>0</v>
      </c>
      <c r="M45" s="849"/>
      <c r="N45" s="853">
        <f t="shared" si="4"/>
        <v>0</v>
      </c>
      <c r="O45" s="852">
        <f>N45*'Emission Factors'!$B$642</f>
        <v>0</v>
      </c>
      <c r="P45" s="1552"/>
      <c r="Q45" s="1553">
        <f t="shared" si="5"/>
        <v>0</v>
      </c>
      <c r="R45" s="1554">
        <f>Q45*'Emission Factors'!$B$639</f>
        <v>0</v>
      </c>
    </row>
    <row r="46" spans="1:20" s="765" customFormat="1" ht="15">
      <c r="A46" s="848"/>
      <c r="B46" s="849"/>
      <c r="C46" s="850">
        <f t="shared" si="1"/>
        <v>0</v>
      </c>
      <c r="D46" s="851">
        <f>C46*1.10231*'Emission Factors'!$B$671</f>
        <v>0</v>
      </c>
      <c r="E46" s="849"/>
      <c r="F46" s="852">
        <f>E46*'Emission Factors'!$B$663/1000</f>
        <v>0</v>
      </c>
      <c r="G46" s="849"/>
      <c r="H46" s="853">
        <f t="shared" si="2"/>
        <v>0</v>
      </c>
      <c r="I46" s="1554">
        <f>H46*'Emission Factors'!$B$640</f>
        <v>0</v>
      </c>
      <c r="J46" s="849"/>
      <c r="K46" s="853">
        <f t="shared" si="3"/>
        <v>0</v>
      </c>
      <c r="L46" s="852">
        <f>K46*'Emission Factors'!$B$641</f>
        <v>0</v>
      </c>
      <c r="M46" s="849"/>
      <c r="N46" s="853">
        <f t="shared" si="4"/>
        <v>0</v>
      </c>
      <c r="O46" s="852">
        <f>N46*'Emission Factors'!$B$642</f>
        <v>0</v>
      </c>
      <c r="P46" s="1552"/>
      <c r="Q46" s="1553">
        <f t="shared" si="5"/>
        <v>0</v>
      </c>
      <c r="R46" s="1554">
        <f>Q46*'Emission Factors'!$B$639</f>
        <v>0</v>
      </c>
    </row>
    <row r="47" spans="1:20" s="765" customFormat="1" ht="15">
      <c r="A47" s="848"/>
      <c r="B47" s="849"/>
      <c r="C47" s="850">
        <f t="shared" si="1"/>
        <v>0</v>
      </c>
      <c r="D47" s="851">
        <f>C47*1.10231*'Emission Factors'!$B$671</f>
        <v>0</v>
      </c>
      <c r="E47" s="849"/>
      <c r="F47" s="852">
        <f>E47*'Emission Factors'!$B$663/1000</f>
        <v>0</v>
      </c>
      <c r="G47" s="849"/>
      <c r="H47" s="853">
        <f t="shared" si="2"/>
        <v>0</v>
      </c>
      <c r="I47" s="1554">
        <f>H47*'Emission Factors'!$B$640</f>
        <v>0</v>
      </c>
      <c r="J47" s="849"/>
      <c r="K47" s="853">
        <f t="shared" si="3"/>
        <v>0</v>
      </c>
      <c r="L47" s="852">
        <f>K47*'Emission Factors'!$B$641</f>
        <v>0</v>
      </c>
      <c r="M47" s="849"/>
      <c r="N47" s="853">
        <f t="shared" si="4"/>
        <v>0</v>
      </c>
      <c r="O47" s="852">
        <f>N47*'Emission Factors'!$B$642</f>
        <v>0</v>
      </c>
      <c r="P47" s="1552"/>
      <c r="Q47" s="1553">
        <f t="shared" si="5"/>
        <v>0</v>
      </c>
      <c r="R47" s="1554">
        <f>Q47*'Emission Factors'!$B$639</f>
        <v>0</v>
      </c>
    </row>
    <row r="48" spans="1:20" s="765" customFormat="1" ht="15">
      <c r="A48" s="848"/>
      <c r="B48" s="849"/>
      <c r="C48" s="850">
        <f t="shared" si="1"/>
        <v>0</v>
      </c>
      <c r="D48" s="851">
        <f>C48*1.10231*'Emission Factors'!$B$671</f>
        <v>0</v>
      </c>
      <c r="E48" s="849"/>
      <c r="F48" s="852">
        <f>E48*'Emission Factors'!$B$663/1000</f>
        <v>0</v>
      </c>
      <c r="G48" s="849"/>
      <c r="H48" s="853">
        <f t="shared" si="2"/>
        <v>0</v>
      </c>
      <c r="I48" s="1554">
        <f>H48*'Emission Factors'!$B$640</f>
        <v>0</v>
      </c>
      <c r="J48" s="849"/>
      <c r="K48" s="853">
        <f t="shared" si="3"/>
        <v>0</v>
      </c>
      <c r="L48" s="852">
        <f>K48*'Emission Factors'!$B$641</f>
        <v>0</v>
      </c>
      <c r="M48" s="849"/>
      <c r="N48" s="853">
        <f t="shared" si="4"/>
        <v>0</v>
      </c>
      <c r="O48" s="852">
        <f>N48*'Emission Factors'!$B$642</f>
        <v>0</v>
      </c>
      <c r="P48" s="1552"/>
      <c r="Q48" s="1553">
        <f t="shared" si="5"/>
        <v>0</v>
      </c>
      <c r="R48" s="1554">
        <f>Q48*'Emission Factors'!$B$639</f>
        <v>0</v>
      </c>
    </row>
    <row r="49" spans="1:18" s="765" customFormat="1" ht="15">
      <c r="A49" s="848"/>
      <c r="B49" s="849"/>
      <c r="C49" s="850">
        <f t="shared" si="1"/>
        <v>0</v>
      </c>
      <c r="D49" s="851">
        <f>C49*1.10231*'Emission Factors'!$B$671</f>
        <v>0</v>
      </c>
      <c r="E49" s="849"/>
      <c r="F49" s="852">
        <f>E49*'Emission Factors'!$B$663/1000</f>
        <v>0</v>
      </c>
      <c r="G49" s="849"/>
      <c r="H49" s="853">
        <f t="shared" si="2"/>
        <v>0</v>
      </c>
      <c r="I49" s="1554">
        <f>H49*'Emission Factors'!$B$640</f>
        <v>0</v>
      </c>
      <c r="J49" s="849"/>
      <c r="K49" s="853">
        <f t="shared" si="3"/>
        <v>0</v>
      </c>
      <c r="L49" s="852">
        <f>K49*'Emission Factors'!$B$641</f>
        <v>0</v>
      </c>
      <c r="M49" s="849"/>
      <c r="N49" s="853">
        <f t="shared" si="4"/>
        <v>0</v>
      </c>
      <c r="O49" s="852">
        <f>N49*'Emission Factors'!$B$642</f>
        <v>0</v>
      </c>
      <c r="P49" s="1552"/>
      <c r="Q49" s="1553">
        <f t="shared" si="5"/>
        <v>0</v>
      </c>
      <c r="R49" s="1554">
        <f>Q49*'Emission Factors'!$B$639</f>
        <v>0</v>
      </c>
    </row>
    <row r="50" spans="1:18" s="765" customFormat="1" ht="15">
      <c r="A50" s="848"/>
      <c r="B50" s="849"/>
      <c r="C50" s="850">
        <f t="shared" si="1"/>
        <v>0</v>
      </c>
      <c r="D50" s="851">
        <f>C50*1.10231*'Emission Factors'!$B$671</f>
        <v>0</v>
      </c>
      <c r="E50" s="849"/>
      <c r="F50" s="852">
        <f>E50*'Emission Factors'!$B$663/1000</f>
        <v>0</v>
      </c>
      <c r="G50" s="849"/>
      <c r="H50" s="853">
        <f t="shared" si="2"/>
        <v>0</v>
      </c>
      <c r="I50" s="1554">
        <f>H50*'Emission Factors'!$B$640</f>
        <v>0</v>
      </c>
      <c r="J50" s="849"/>
      <c r="K50" s="853">
        <f t="shared" si="3"/>
        <v>0</v>
      </c>
      <c r="L50" s="852">
        <f>K50*'Emission Factors'!$B$641</f>
        <v>0</v>
      </c>
      <c r="M50" s="849"/>
      <c r="N50" s="853">
        <f t="shared" si="4"/>
        <v>0</v>
      </c>
      <c r="O50" s="852">
        <f>N50*'Emission Factors'!$B$642</f>
        <v>0</v>
      </c>
      <c r="P50" s="1552"/>
      <c r="Q50" s="1553">
        <f t="shared" si="5"/>
        <v>0</v>
      </c>
      <c r="R50" s="1554">
        <f>Q50*'Emission Factors'!$B$639</f>
        <v>0</v>
      </c>
    </row>
    <row r="51" spans="1:18" s="765" customFormat="1" ht="15">
      <c r="A51" s="848"/>
      <c r="B51" s="849"/>
      <c r="C51" s="850">
        <f t="shared" si="1"/>
        <v>0</v>
      </c>
      <c r="D51" s="851">
        <f>C51*1.10231*'Emission Factors'!$B$671</f>
        <v>0</v>
      </c>
      <c r="E51" s="849"/>
      <c r="F51" s="852">
        <f>E51*'Emission Factors'!$B$663/1000</f>
        <v>0</v>
      </c>
      <c r="G51" s="849"/>
      <c r="H51" s="853">
        <f t="shared" si="2"/>
        <v>0</v>
      </c>
      <c r="I51" s="1554">
        <f>H51*'Emission Factors'!$B$640</f>
        <v>0</v>
      </c>
      <c r="J51" s="849"/>
      <c r="K51" s="853">
        <f t="shared" si="3"/>
        <v>0</v>
      </c>
      <c r="L51" s="852">
        <f>K51*'Emission Factors'!$B$641</f>
        <v>0</v>
      </c>
      <c r="M51" s="849"/>
      <c r="N51" s="853">
        <f t="shared" si="4"/>
        <v>0</v>
      </c>
      <c r="O51" s="852">
        <f>N51*'Emission Factors'!$B$642</f>
        <v>0</v>
      </c>
      <c r="P51" s="1552"/>
      <c r="Q51" s="1553">
        <f t="shared" si="5"/>
        <v>0</v>
      </c>
      <c r="R51" s="1554">
        <f>Q51*'Emission Factors'!$B$639</f>
        <v>0</v>
      </c>
    </row>
    <row r="52" spans="1:18" s="765" customFormat="1" ht="15">
      <c r="A52" s="848"/>
      <c r="B52" s="849"/>
      <c r="C52" s="850">
        <f t="shared" si="1"/>
        <v>0</v>
      </c>
      <c r="D52" s="851">
        <f>C52*1.10231*'Emission Factors'!$B$671</f>
        <v>0</v>
      </c>
      <c r="E52" s="849"/>
      <c r="F52" s="852">
        <f>E52*'Emission Factors'!$B$663/1000</f>
        <v>0</v>
      </c>
      <c r="G52" s="849"/>
      <c r="H52" s="853">
        <f t="shared" si="2"/>
        <v>0</v>
      </c>
      <c r="I52" s="1554">
        <f>H52*'Emission Factors'!$B$640</f>
        <v>0</v>
      </c>
      <c r="J52" s="849"/>
      <c r="K52" s="853">
        <f t="shared" si="3"/>
        <v>0</v>
      </c>
      <c r="L52" s="852">
        <f>K52*'Emission Factors'!$B$641</f>
        <v>0</v>
      </c>
      <c r="M52" s="849"/>
      <c r="N52" s="853">
        <f t="shared" si="4"/>
        <v>0</v>
      </c>
      <c r="O52" s="852">
        <f>N52*'Emission Factors'!$B$642</f>
        <v>0</v>
      </c>
      <c r="P52" s="1552"/>
      <c r="Q52" s="1553">
        <f t="shared" si="5"/>
        <v>0</v>
      </c>
      <c r="R52" s="1554">
        <f>Q52*'Emission Factors'!$B$639</f>
        <v>0</v>
      </c>
    </row>
    <row r="53" spans="1:18" s="765" customFormat="1" ht="15">
      <c r="A53" s="848"/>
      <c r="B53" s="849"/>
      <c r="C53" s="850">
        <f t="shared" si="1"/>
        <v>0</v>
      </c>
      <c r="D53" s="851">
        <f>C53*1.10231*'Emission Factors'!$B$671</f>
        <v>0</v>
      </c>
      <c r="E53" s="849"/>
      <c r="F53" s="852">
        <f>E53*'Emission Factors'!$B$663/1000</f>
        <v>0</v>
      </c>
      <c r="G53" s="849"/>
      <c r="H53" s="853">
        <f t="shared" si="2"/>
        <v>0</v>
      </c>
      <c r="I53" s="1554">
        <f>H53*'Emission Factors'!$B$640</f>
        <v>0</v>
      </c>
      <c r="J53" s="849"/>
      <c r="K53" s="853">
        <f t="shared" si="3"/>
        <v>0</v>
      </c>
      <c r="L53" s="852">
        <f>K53*'Emission Factors'!$B$641</f>
        <v>0</v>
      </c>
      <c r="M53" s="849"/>
      <c r="N53" s="853">
        <f t="shared" si="4"/>
        <v>0</v>
      </c>
      <c r="O53" s="852">
        <f>N53*'Emission Factors'!$B$642</f>
        <v>0</v>
      </c>
      <c r="P53" s="1552"/>
      <c r="Q53" s="1553">
        <f t="shared" si="5"/>
        <v>0</v>
      </c>
      <c r="R53" s="1554">
        <f>Q53*'Emission Factors'!$B$639</f>
        <v>0</v>
      </c>
    </row>
    <row r="54" spans="1:18" s="765" customFormat="1" ht="15">
      <c r="A54" s="848"/>
      <c r="B54" s="849"/>
      <c r="C54" s="850">
        <f t="shared" si="1"/>
        <v>0</v>
      </c>
      <c r="D54" s="851">
        <f>C54*1.10231*'Emission Factors'!$B$671</f>
        <v>0</v>
      </c>
      <c r="E54" s="849"/>
      <c r="F54" s="852">
        <f>E54*'Emission Factors'!$B$663/1000</f>
        <v>0</v>
      </c>
      <c r="G54" s="849"/>
      <c r="H54" s="853">
        <f t="shared" si="2"/>
        <v>0</v>
      </c>
      <c r="I54" s="1554">
        <f>H54*'Emission Factors'!$B$640</f>
        <v>0</v>
      </c>
      <c r="J54" s="849"/>
      <c r="K54" s="853">
        <f t="shared" si="3"/>
        <v>0</v>
      </c>
      <c r="L54" s="852">
        <f>K54*'Emission Factors'!$B$641</f>
        <v>0</v>
      </c>
      <c r="M54" s="849"/>
      <c r="N54" s="853">
        <f t="shared" si="4"/>
        <v>0</v>
      </c>
      <c r="O54" s="852">
        <f>N54*'Emission Factors'!$B$642</f>
        <v>0</v>
      </c>
      <c r="P54" s="1552"/>
      <c r="Q54" s="1553">
        <f t="shared" si="5"/>
        <v>0</v>
      </c>
      <c r="R54" s="1554">
        <f>Q54*'Emission Factors'!$B$639</f>
        <v>0</v>
      </c>
    </row>
    <row r="55" spans="1:18" s="765" customFormat="1" ht="15">
      <c r="A55" s="848"/>
      <c r="B55" s="849"/>
      <c r="C55" s="850">
        <f t="shared" si="1"/>
        <v>0</v>
      </c>
      <c r="D55" s="851">
        <f>C55*1.10231*'Emission Factors'!$B$671</f>
        <v>0</v>
      </c>
      <c r="E55" s="849"/>
      <c r="F55" s="852">
        <f>E55*'Emission Factors'!$B$663/1000</f>
        <v>0</v>
      </c>
      <c r="G55" s="849"/>
      <c r="H55" s="853">
        <f t="shared" si="2"/>
        <v>0</v>
      </c>
      <c r="I55" s="1554">
        <f>H55*'Emission Factors'!$B$640</f>
        <v>0</v>
      </c>
      <c r="J55" s="849"/>
      <c r="K55" s="853">
        <f t="shared" si="3"/>
        <v>0</v>
      </c>
      <c r="L55" s="852">
        <f>K55*'Emission Factors'!$B$641</f>
        <v>0</v>
      </c>
      <c r="M55" s="849"/>
      <c r="N55" s="853">
        <f t="shared" si="4"/>
        <v>0</v>
      </c>
      <c r="O55" s="852">
        <f>N55*'Emission Factors'!$B$642</f>
        <v>0</v>
      </c>
      <c r="P55" s="1552"/>
      <c r="Q55" s="1553">
        <f t="shared" si="5"/>
        <v>0</v>
      </c>
      <c r="R55" s="1554">
        <f>Q55*'Emission Factors'!$B$639</f>
        <v>0</v>
      </c>
    </row>
    <row r="56" spans="1:18" s="765" customFormat="1" ht="15">
      <c r="A56" s="848"/>
      <c r="B56" s="849"/>
      <c r="C56" s="850">
        <f t="shared" si="1"/>
        <v>0</v>
      </c>
      <c r="D56" s="851">
        <f>C56*1.10231*'Emission Factors'!$B$671</f>
        <v>0</v>
      </c>
      <c r="E56" s="849"/>
      <c r="F56" s="852">
        <f>E56*'Emission Factors'!$B$663/1000</f>
        <v>0</v>
      </c>
      <c r="G56" s="849"/>
      <c r="H56" s="853">
        <f t="shared" si="2"/>
        <v>0</v>
      </c>
      <c r="I56" s="1554">
        <f>H56*'Emission Factors'!$B$640</f>
        <v>0</v>
      </c>
      <c r="J56" s="854"/>
      <c r="K56" s="853">
        <f t="shared" si="3"/>
        <v>0</v>
      </c>
      <c r="L56" s="852">
        <f>K56*'Emission Factors'!$B$641</f>
        <v>0</v>
      </c>
      <c r="M56" s="849"/>
      <c r="N56" s="853">
        <f t="shared" si="4"/>
        <v>0</v>
      </c>
      <c r="O56" s="852">
        <f>N56*'Emission Factors'!$B$642</f>
        <v>0</v>
      </c>
      <c r="P56" s="1552"/>
      <c r="Q56" s="1553">
        <f t="shared" si="5"/>
        <v>0</v>
      </c>
      <c r="R56" s="1554">
        <f>Q56*'Emission Factors'!$B$639</f>
        <v>0</v>
      </c>
    </row>
    <row r="57" spans="1:18" s="765" customFormat="1" ht="15">
      <c r="A57" s="848"/>
      <c r="B57" s="849"/>
      <c r="C57" s="850">
        <f t="shared" si="1"/>
        <v>0</v>
      </c>
      <c r="D57" s="851">
        <f>C57*1.10231*'Emission Factors'!$B$671</f>
        <v>0</v>
      </c>
      <c r="E57" s="849"/>
      <c r="F57" s="852">
        <f>E57*'Emission Factors'!$B$663/1000</f>
        <v>0</v>
      </c>
      <c r="G57" s="849"/>
      <c r="H57" s="853">
        <f t="shared" si="2"/>
        <v>0</v>
      </c>
      <c r="I57" s="1554">
        <f>H57*'Emission Factors'!$B$640</f>
        <v>0</v>
      </c>
      <c r="J57" s="854"/>
      <c r="K57" s="853">
        <f t="shared" si="3"/>
        <v>0</v>
      </c>
      <c r="L57" s="852">
        <f>K57*'Emission Factors'!$B$641</f>
        <v>0</v>
      </c>
      <c r="M57" s="854"/>
      <c r="N57" s="853">
        <f t="shared" si="4"/>
        <v>0</v>
      </c>
      <c r="O57" s="852">
        <f>N57*'Emission Factors'!$B$642</f>
        <v>0</v>
      </c>
      <c r="P57" s="1555"/>
      <c r="Q57" s="1553">
        <f t="shared" si="5"/>
        <v>0</v>
      </c>
      <c r="R57" s="1554">
        <f>Q57*'Emission Factors'!$B$639</f>
        <v>0</v>
      </c>
    </row>
    <row r="58" spans="1:18" s="765" customFormat="1" ht="15">
      <c r="A58" s="848"/>
      <c r="B58" s="849"/>
      <c r="C58" s="850">
        <f t="shared" si="1"/>
        <v>0</v>
      </c>
      <c r="D58" s="851">
        <f>C58*1.10231*'Emission Factors'!$B$671</f>
        <v>0</v>
      </c>
      <c r="E58" s="849"/>
      <c r="F58" s="852">
        <f>E58*'Emission Factors'!$B$663/1000</f>
        <v>0</v>
      </c>
      <c r="G58" s="849"/>
      <c r="H58" s="853">
        <f t="shared" si="2"/>
        <v>0</v>
      </c>
      <c r="I58" s="1554">
        <f>H58*'Emission Factors'!$B$640</f>
        <v>0</v>
      </c>
      <c r="J58" s="854"/>
      <c r="K58" s="853">
        <f t="shared" si="3"/>
        <v>0</v>
      </c>
      <c r="L58" s="852">
        <f>K58*'Emission Factors'!$B$641</f>
        <v>0</v>
      </c>
      <c r="M58" s="854"/>
      <c r="N58" s="853">
        <f t="shared" si="4"/>
        <v>0</v>
      </c>
      <c r="O58" s="852">
        <f>N58*'Emission Factors'!$B$642</f>
        <v>0</v>
      </c>
      <c r="P58" s="1555"/>
      <c r="Q58" s="1553">
        <f t="shared" si="5"/>
        <v>0</v>
      </c>
      <c r="R58" s="1554">
        <f>Q58*'Emission Factors'!$B$639</f>
        <v>0</v>
      </c>
    </row>
    <row r="59" spans="1:18" s="765" customFormat="1" ht="15">
      <c r="A59" s="848"/>
      <c r="B59" s="849"/>
      <c r="C59" s="850">
        <f t="shared" si="1"/>
        <v>0</v>
      </c>
      <c r="D59" s="851">
        <f>C59*1.10231*'Emission Factors'!$B$671</f>
        <v>0</v>
      </c>
      <c r="E59" s="849"/>
      <c r="F59" s="852">
        <f>E59*'Emission Factors'!$B$663/1000</f>
        <v>0</v>
      </c>
      <c r="G59" s="849"/>
      <c r="H59" s="853">
        <f t="shared" si="2"/>
        <v>0</v>
      </c>
      <c r="I59" s="1554">
        <f>H59*'Emission Factors'!$B$640</f>
        <v>0</v>
      </c>
      <c r="J59" s="854"/>
      <c r="K59" s="853">
        <f t="shared" si="3"/>
        <v>0</v>
      </c>
      <c r="L59" s="852">
        <f>K59*'Emission Factors'!$B$641</f>
        <v>0</v>
      </c>
      <c r="M59" s="854"/>
      <c r="N59" s="853">
        <f t="shared" si="4"/>
        <v>0</v>
      </c>
      <c r="O59" s="852">
        <f>N59*'Emission Factors'!$B$642</f>
        <v>0</v>
      </c>
      <c r="P59" s="1555"/>
      <c r="Q59" s="1553">
        <f t="shared" si="5"/>
        <v>0</v>
      </c>
      <c r="R59" s="1554">
        <f>Q59*'Emission Factors'!$B$639</f>
        <v>0</v>
      </c>
    </row>
    <row r="60" spans="1:18" s="765" customFormat="1" ht="15">
      <c r="A60" s="848"/>
      <c r="B60" s="849"/>
      <c r="C60" s="850">
        <f t="shared" si="1"/>
        <v>0</v>
      </c>
      <c r="D60" s="851">
        <f>C60*1.10231*'Emission Factors'!$B$671</f>
        <v>0</v>
      </c>
      <c r="E60" s="849"/>
      <c r="F60" s="852">
        <f>E60*'Emission Factors'!$B$663/1000</f>
        <v>0</v>
      </c>
      <c r="G60" s="849"/>
      <c r="H60" s="853">
        <f t="shared" si="2"/>
        <v>0</v>
      </c>
      <c r="I60" s="1554">
        <f>H60*'Emission Factors'!$B$640</f>
        <v>0</v>
      </c>
      <c r="J60" s="854"/>
      <c r="K60" s="853">
        <f t="shared" si="3"/>
        <v>0</v>
      </c>
      <c r="L60" s="852">
        <f>K60*'Emission Factors'!$B$641</f>
        <v>0</v>
      </c>
      <c r="M60" s="854"/>
      <c r="N60" s="853">
        <f t="shared" si="4"/>
        <v>0</v>
      </c>
      <c r="O60" s="852">
        <f>N60*'Emission Factors'!$B$642</f>
        <v>0</v>
      </c>
      <c r="P60" s="1555"/>
      <c r="Q60" s="1553">
        <f t="shared" si="5"/>
        <v>0</v>
      </c>
      <c r="R60" s="1554">
        <f>Q60*'Emission Factors'!$B$639</f>
        <v>0</v>
      </c>
    </row>
    <row r="61" spans="1:18" s="765" customFormat="1" ht="15">
      <c r="A61" s="848"/>
      <c r="B61" s="849"/>
      <c r="C61" s="850">
        <f t="shared" si="1"/>
        <v>0</v>
      </c>
      <c r="D61" s="851">
        <f>C61*1.10231*'Emission Factors'!$B$671</f>
        <v>0</v>
      </c>
      <c r="E61" s="849"/>
      <c r="F61" s="852">
        <f>E61*'Emission Factors'!$B$663/1000</f>
        <v>0</v>
      </c>
      <c r="G61" s="849"/>
      <c r="H61" s="853">
        <f t="shared" si="2"/>
        <v>0</v>
      </c>
      <c r="I61" s="1554">
        <f>H61*'Emission Factors'!$B$640</f>
        <v>0</v>
      </c>
      <c r="J61" s="854"/>
      <c r="K61" s="853">
        <f t="shared" si="3"/>
        <v>0</v>
      </c>
      <c r="L61" s="852">
        <f>K61*'Emission Factors'!$B$641</f>
        <v>0</v>
      </c>
      <c r="M61" s="854"/>
      <c r="N61" s="853">
        <f t="shared" si="4"/>
        <v>0</v>
      </c>
      <c r="O61" s="852">
        <f>N61*'Emission Factors'!$B$642</f>
        <v>0</v>
      </c>
      <c r="P61" s="1555"/>
      <c r="Q61" s="1553">
        <f t="shared" si="5"/>
        <v>0</v>
      </c>
      <c r="R61" s="1554">
        <f>Q61*'Emission Factors'!$B$639</f>
        <v>0</v>
      </c>
    </row>
    <row r="62" spans="1:18" s="765" customFormat="1" ht="15">
      <c r="A62" s="848"/>
      <c r="B62" s="849"/>
      <c r="C62" s="850">
        <f t="shared" si="1"/>
        <v>0</v>
      </c>
      <c r="D62" s="851">
        <f>C62*1.10231*'Emission Factors'!$B$671</f>
        <v>0</v>
      </c>
      <c r="E62" s="849"/>
      <c r="F62" s="852">
        <f>E62*'Emission Factors'!$B$663/1000</f>
        <v>0</v>
      </c>
      <c r="G62" s="849"/>
      <c r="H62" s="853">
        <f t="shared" si="2"/>
        <v>0</v>
      </c>
      <c r="I62" s="1554">
        <f>H62*'Emission Factors'!$B$640</f>
        <v>0</v>
      </c>
      <c r="J62" s="854"/>
      <c r="K62" s="853">
        <f t="shared" si="3"/>
        <v>0</v>
      </c>
      <c r="L62" s="852">
        <f>K62*'Emission Factors'!$B$641</f>
        <v>0</v>
      </c>
      <c r="M62" s="854"/>
      <c r="N62" s="853">
        <f t="shared" si="4"/>
        <v>0</v>
      </c>
      <c r="O62" s="852">
        <f>N62*'Emission Factors'!$B$642</f>
        <v>0</v>
      </c>
      <c r="P62" s="1555"/>
      <c r="Q62" s="1553">
        <f t="shared" si="5"/>
        <v>0</v>
      </c>
      <c r="R62" s="1554">
        <f>Q62*'Emission Factors'!$B$639</f>
        <v>0</v>
      </c>
    </row>
    <row r="63" spans="1:18" s="765" customFormat="1" ht="15">
      <c r="A63" s="848"/>
      <c r="B63" s="849"/>
      <c r="C63" s="850">
        <f t="shared" si="1"/>
        <v>0</v>
      </c>
      <c r="D63" s="851">
        <f>C63*1.10231*'Emission Factors'!$B$671</f>
        <v>0</v>
      </c>
      <c r="E63" s="849"/>
      <c r="F63" s="852">
        <f>E63*'Emission Factors'!$B$663/1000</f>
        <v>0</v>
      </c>
      <c r="G63" s="849"/>
      <c r="H63" s="853">
        <f t="shared" si="2"/>
        <v>0</v>
      </c>
      <c r="I63" s="1554">
        <f>H63*'Emission Factors'!$B$640</f>
        <v>0</v>
      </c>
      <c r="J63" s="854"/>
      <c r="K63" s="853">
        <f t="shared" si="3"/>
        <v>0</v>
      </c>
      <c r="L63" s="852">
        <f>K63*'Emission Factors'!$B$641</f>
        <v>0</v>
      </c>
      <c r="M63" s="854"/>
      <c r="N63" s="853">
        <f t="shared" si="4"/>
        <v>0</v>
      </c>
      <c r="O63" s="852">
        <f>N63*'Emission Factors'!$B$642</f>
        <v>0</v>
      </c>
      <c r="P63" s="1555"/>
      <c r="Q63" s="1553">
        <f t="shared" si="5"/>
        <v>0</v>
      </c>
      <c r="R63" s="1554">
        <f>Q63*'Emission Factors'!$B$639</f>
        <v>0</v>
      </c>
    </row>
    <row r="64" spans="1:18" s="765" customFormat="1" ht="15">
      <c r="A64" s="848"/>
      <c r="B64" s="849"/>
      <c r="C64" s="850">
        <f t="shared" si="1"/>
        <v>0</v>
      </c>
      <c r="D64" s="851">
        <f>C64*1.10231*'Emission Factors'!$B$671</f>
        <v>0</v>
      </c>
      <c r="E64" s="849"/>
      <c r="F64" s="852">
        <f>E64*'Emission Factors'!$B$663/1000</f>
        <v>0</v>
      </c>
      <c r="G64" s="849"/>
      <c r="H64" s="853">
        <f t="shared" si="2"/>
        <v>0</v>
      </c>
      <c r="I64" s="1554">
        <f>H64*'Emission Factors'!$B$640</f>
        <v>0</v>
      </c>
      <c r="J64" s="854"/>
      <c r="K64" s="853">
        <f t="shared" si="3"/>
        <v>0</v>
      </c>
      <c r="L64" s="852">
        <f>K64*'Emission Factors'!$B$641</f>
        <v>0</v>
      </c>
      <c r="M64" s="854"/>
      <c r="N64" s="853">
        <f t="shared" si="4"/>
        <v>0</v>
      </c>
      <c r="O64" s="852">
        <f>N64*'Emission Factors'!$B$642</f>
        <v>0</v>
      </c>
      <c r="P64" s="1555"/>
      <c r="Q64" s="1553">
        <f t="shared" si="5"/>
        <v>0</v>
      </c>
      <c r="R64" s="1554">
        <f>Q64*'Emission Factors'!$B$639</f>
        <v>0</v>
      </c>
    </row>
    <row r="65" spans="1:18" s="765" customFormat="1" ht="15">
      <c r="A65" s="848"/>
      <c r="B65" s="849"/>
      <c r="C65" s="850">
        <f t="shared" si="1"/>
        <v>0</v>
      </c>
      <c r="D65" s="851">
        <f>C65*1.10231*'Emission Factors'!$B$671</f>
        <v>0</v>
      </c>
      <c r="E65" s="849"/>
      <c r="F65" s="852">
        <f>E65*'Emission Factors'!$B$663/1000</f>
        <v>0</v>
      </c>
      <c r="G65" s="849"/>
      <c r="H65" s="853">
        <f t="shared" si="2"/>
        <v>0</v>
      </c>
      <c r="I65" s="1554">
        <f>H65*'Emission Factors'!$B$640</f>
        <v>0</v>
      </c>
      <c r="J65" s="854"/>
      <c r="K65" s="853">
        <f t="shared" si="3"/>
        <v>0</v>
      </c>
      <c r="L65" s="852">
        <f>K65*'Emission Factors'!$B$641</f>
        <v>0</v>
      </c>
      <c r="M65" s="854"/>
      <c r="N65" s="853">
        <f t="shared" si="4"/>
        <v>0</v>
      </c>
      <c r="O65" s="852">
        <f>N65*'Emission Factors'!$B$642</f>
        <v>0</v>
      </c>
      <c r="P65" s="1555"/>
      <c r="Q65" s="1553">
        <f t="shared" si="5"/>
        <v>0</v>
      </c>
      <c r="R65" s="1554">
        <f>Q65*'Emission Factors'!$B$639</f>
        <v>0</v>
      </c>
    </row>
    <row r="66" spans="1:18" s="765" customFormat="1" ht="15">
      <c r="A66" s="848"/>
      <c r="B66" s="849"/>
      <c r="C66" s="850">
        <f t="shared" si="1"/>
        <v>0</v>
      </c>
      <c r="D66" s="851">
        <f>C66*1.10231*'Emission Factors'!$B$671</f>
        <v>0</v>
      </c>
      <c r="E66" s="849"/>
      <c r="F66" s="852">
        <f>E66*'Emission Factors'!$B$663/1000</f>
        <v>0</v>
      </c>
      <c r="G66" s="849"/>
      <c r="H66" s="853">
        <f t="shared" si="2"/>
        <v>0</v>
      </c>
      <c r="I66" s="1554">
        <f>H66*'Emission Factors'!$B$640</f>
        <v>0</v>
      </c>
      <c r="J66" s="854"/>
      <c r="K66" s="853">
        <f t="shared" si="3"/>
        <v>0</v>
      </c>
      <c r="L66" s="852">
        <f>K66*'Emission Factors'!$B$641</f>
        <v>0</v>
      </c>
      <c r="M66" s="854"/>
      <c r="N66" s="853">
        <f t="shared" si="4"/>
        <v>0</v>
      </c>
      <c r="O66" s="852">
        <f>N66*'Emission Factors'!$B$642</f>
        <v>0</v>
      </c>
      <c r="P66" s="1555"/>
      <c r="Q66" s="1553">
        <f t="shared" si="5"/>
        <v>0</v>
      </c>
      <c r="R66" s="1554">
        <f>Q66*'Emission Factors'!$B$639</f>
        <v>0</v>
      </c>
    </row>
    <row r="67" spans="1:18" s="765" customFormat="1" ht="15">
      <c r="A67" s="848"/>
      <c r="B67" s="849"/>
      <c r="C67" s="850">
        <f t="shared" si="1"/>
        <v>0</v>
      </c>
      <c r="D67" s="851">
        <f>C67*1.10231*'Emission Factors'!$B$671</f>
        <v>0</v>
      </c>
      <c r="E67" s="849"/>
      <c r="F67" s="852">
        <f>E67*'Emission Factors'!$B$663/1000</f>
        <v>0</v>
      </c>
      <c r="G67" s="849"/>
      <c r="H67" s="853">
        <f t="shared" si="2"/>
        <v>0</v>
      </c>
      <c r="I67" s="1554">
        <f>H67*'Emission Factors'!$B$640</f>
        <v>0</v>
      </c>
      <c r="J67" s="854"/>
      <c r="K67" s="853">
        <f t="shared" si="3"/>
        <v>0</v>
      </c>
      <c r="L67" s="852">
        <f>K67*'Emission Factors'!$B$641</f>
        <v>0</v>
      </c>
      <c r="M67" s="854"/>
      <c r="N67" s="853">
        <f t="shared" si="4"/>
        <v>0</v>
      </c>
      <c r="O67" s="852">
        <f>N67*'Emission Factors'!$B$642</f>
        <v>0</v>
      </c>
      <c r="P67" s="1555"/>
      <c r="Q67" s="1553">
        <f t="shared" si="5"/>
        <v>0</v>
      </c>
      <c r="R67" s="1554">
        <f>Q67*'Emission Factors'!$B$639</f>
        <v>0</v>
      </c>
    </row>
    <row r="68" spans="1:18" s="765" customFormat="1" ht="15">
      <c r="A68" s="848"/>
      <c r="B68" s="849"/>
      <c r="C68" s="850">
        <f t="shared" si="1"/>
        <v>0</v>
      </c>
      <c r="D68" s="851">
        <f>C68*1.10231*'Emission Factors'!$B$671</f>
        <v>0</v>
      </c>
      <c r="E68" s="849"/>
      <c r="F68" s="852">
        <f>E68*'Emission Factors'!$B$663/1000</f>
        <v>0</v>
      </c>
      <c r="G68" s="849"/>
      <c r="H68" s="853">
        <f t="shared" si="2"/>
        <v>0</v>
      </c>
      <c r="I68" s="1554">
        <f>H68*'Emission Factors'!$B$640</f>
        <v>0</v>
      </c>
      <c r="J68" s="854"/>
      <c r="K68" s="853">
        <f t="shared" si="3"/>
        <v>0</v>
      </c>
      <c r="L68" s="852">
        <f>K68*'Emission Factors'!$B$641</f>
        <v>0</v>
      </c>
      <c r="M68" s="854"/>
      <c r="N68" s="853">
        <f t="shared" si="4"/>
        <v>0</v>
      </c>
      <c r="O68" s="852">
        <f>N68*'Emission Factors'!$B$642</f>
        <v>0</v>
      </c>
      <c r="P68" s="1555"/>
      <c r="Q68" s="1553">
        <f t="shared" si="5"/>
        <v>0</v>
      </c>
      <c r="R68" s="1554">
        <f>Q68*'Emission Factors'!$B$639</f>
        <v>0</v>
      </c>
    </row>
    <row r="69" spans="1:18" s="765" customFormat="1" ht="15">
      <c r="A69" s="848"/>
      <c r="B69" s="849"/>
      <c r="C69" s="850">
        <f t="shared" si="1"/>
        <v>0</v>
      </c>
      <c r="D69" s="851">
        <f>C69*1.10231*'Emission Factors'!$B$671</f>
        <v>0</v>
      </c>
      <c r="E69" s="849"/>
      <c r="F69" s="852">
        <f>E69*'Emission Factors'!$B$663/1000</f>
        <v>0</v>
      </c>
      <c r="G69" s="849"/>
      <c r="H69" s="853">
        <f t="shared" si="2"/>
        <v>0</v>
      </c>
      <c r="I69" s="1554">
        <f>H69*'Emission Factors'!$B$640</f>
        <v>0</v>
      </c>
      <c r="J69" s="854"/>
      <c r="K69" s="853">
        <f t="shared" si="3"/>
        <v>0</v>
      </c>
      <c r="L69" s="852">
        <f>K69*'Emission Factors'!$B$641</f>
        <v>0</v>
      </c>
      <c r="M69" s="854"/>
      <c r="N69" s="853">
        <f t="shared" si="4"/>
        <v>0</v>
      </c>
      <c r="O69" s="852">
        <f>N69*'Emission Factors'!$B$642</f>
        <v>0</v>
      </c>
      <c r="P69" s="1555"/>
      <c r="Q69" s="1553">
        <f t="shared" si="5"/>
        <v>0</v>
      </c>
      <c r="R69" s="1554">
        <f>Q69*'Emission Factors'!$B$639</f>
        <v>0</v>
      </c>
    </row>
    <row r="70" spans="1:18" s="765" customFormat="1" ht="15">
      <c r="A70" s="848"/>
      <c r="B70" s="849"/>
      <c r="C70" s="850">
        <f t="shared" si="1"/>
        <v>0</v>
      </c>
      <c r="D70" s="851">
        <f>C70*1.10231*'Emission Factors'!$B$671</f>
        <v>0</v>
      </c>
      <c r="E70" s="849"/>
      <c r="F70" s="852">
        <f>E70*'Emission Factors'!$B$663/1000</f>
        <v>0</v>
      </c>
      <c r="G70" s="849"/>
      <c r="H70" s="853">
        <f t="shared" si="2"/>
        <v>0</v>
      </c>
      <c r="I70" s="1554">
        <f>H70*'Emission Factors'!$B$640</f>
        <v>0</v>
      </c>
      <c r="J70" s="854"/>
      <c r="K70" s="853">
        <f t="shared" si="3"/>
        <v>0</v>
      </c>
      <c r="L70" s="852">
        <f>K70*'Emission Factors'!$B$641</f>
        <v>0</v>
      </c>
      <c r="M70" s="854"/>
      <c r="N70" s="853">
        <f t="shared" si="4"/>
        <v>0</v>
      </c>
      <c r="O70" s="852">
        <f>N70*'Emission Factors'!$B$642</f>
        <v>0</v>
      </c>
      <c r="P70" s="1555"/>
      <c r="Q70" s="1553">
        <f t="shared" si="5"/>
        <v>0</v>
      </c>
      <c r="R70" s="1554">
        <f>Q70*'Emission Factors'!$B$639</f>
        <v>0</v>
      </c>
    </row>
    <row r="71" spans="1:18" s="765" customFormat="1" ht="15">
      <c r="A71" s="848"/>
      <c r="B71" s="849"/>
      <c r="C71" s="850">
        <f t="shared" si="1"/>
        <v>0</v>
      </c>
      <c r="D71" s="851">
        <f>C71*1.10231*'Emission Factors'!$B$671</f>
        <v>0</v>
      </c>
      <c r="E71" s="849"/>
      <c r="F71" s="852">
        <f>E71*'Emission Factors'!$B$663/1000</f>
        <v>0</v>
      </c>
      <c r="G71" s="849"/>
      <c r="H71" s="853">
        <f t="shared" si="2"/>
        <v>0</v>
      </c>
      <c r="I71" s="1554">
        <f>H71*'Emission Factors'!$B$640</f>
        <v>0</v>
      </c>
      <c r="J71" s="854"/>
      <c r="K71" s="853">
        <f t="shared" si="3"/>
        <v>0</v>
      </c>
      <c r="L71" s="852">
        <f>K71*'Emission Factors'!$B$641</f>
        <v>0</v>
      </c>
      <c r="M71" s="854"/>
      <c r="N71" s="853">
        <f t="shared" si="4"/>
        <v>0</v>
      </c>
      <c r="O71" s="852">
        <f>N71*'Emission Factors'!$B$642</f>
        <v>0</v>
      </c>
      <c r="P71" s="1555"/>
      <c r="Q71" s="1553">
        <f t="shared" si="5"/>
        <v>0</v>
      </c>
      <c r="R71" s="1554">
        <f>Q71*'Emission Factors'!$B$639</f>
        <v>0</v>
      </c>
    </row>
    <row r="72" spans="1:18" s="765" customFormat="1" ht="15">
      <c r="A72" s="848"/>
      <c r="B72" s="849"/>
      <c r="C72" s="850">
        <f t="shared" si="1"/>
        <v>0</v>
      </c>
      <c r="D72" s="851">
        <f>C72*1.10231*'Emission Factors'!$B$671</f>
        <v>0</v>
      </c>
      <c r="E72" s="849"/>
      <c r="F72" s="852">
        <f>E72*'Emission Factors'!$B$663/1000</f>
        <v>0</v>
      </c>
      <c r="G72" s="849"/>
      <c r="H72" s="853">
        <f t="shared" si="2"/>
        <v>0</v>
      </c>
      <c r="I72" s="1554">
        <f>H72*'Emission Factors'!$B$640</f>
        <v>0</v>
      </c>
      <c r="J72" s="854"/>
      <c r="K72" s="853">
        <f t="shared" si="3"/>
        <v>0</v>
      </c>
      <c r="L72" s="852">
        <f>K72*'Emission Factors'!$B$641</f>
        <v>0</v>
      </c>
      <c r="M72" s="854"/>
      <c r="N72" s="853">
        <f t="shared" si="4"/>
        <v>0</v>
      </c>
      <c r="O72" s="852">
        <f>N72*'Emission Factors'!$B$642</f>
        <v>0</v>
      </c>
      <c r="P72" s="1555"/>
      <c r="Q72" s="1553">
        <f t="shared" si="5"/>
        <v>0</v>
      </c>
      <c r="R72" s="1554">
        <f>Q72*'Emission Factors'!$B$639</f>
        <v>0</v>
      </c>
    </row>
    <row r="73" spans="1:18" s="765" customFormat="1" ht="15">
      <c r="A73" s="848"/>
      <c r="B73" s="849"/>
      <c r="C73" s="850">
        <f t="shared" si="1"/>
        <v>0</v>
      </c>
      <c r="D73" s="851">
        <f>C73*1.10231*'Emission Factors'!$B$671</f>
        <v>0</v>
      </c>
      <c r="E73" s="849"/>
      <c r="F73" s="852">
        <f>E73*'Emission Factors'!$B$663/1000</f>
        <v>0</v>
      </c>
      <c r="G73" s="849"/>
      <c r="H73" s="853">
        <f t="shared" si="2"/>
        <v>0</v>
      </c>
      <c r="I73" s="1554">
        <f>H73*'Emission Factors'!$B$640</f>
        <v>0</v>
      </c>
      <c r="J73" s="854"/>
      <c r="K73" s="853">
        <f t="shared" si="3"/>
        <v>0</v>
      </c>
      <c r="L73" s="852">
        <f>K73*'Emission Factors'!$B$641</f>
        <v>0</v>
      </c>
      <c r="M73" s="854"/>
      <c r="N73" s="853">
        <f t="shared" si="4"/>
        <v>0</v>
      </c>
      <c r="O73" s="852">
        <f>N73*'Emission Factors'!$B$642</f>
        <v>0</v>
      </c>
      <c r="P73" s="1555"/>
      <c r="Q73" s="1553">
        <f t="shared" si="5"/>
        <v>0</v>
      </c>
      <c r="R73" s="1554">
        <f>Q73*'Emission Factors'!$B$639</f>
        <v>0</v>
      </c>
    </row>
    <row r="74" spans="1:18" s="765" customFormat="1" ht="15">
      <c r="A74" s="848"/>
      <c r="B74" s="849"/>
      <c r="C74" s="850">
        <f t="shared" si="1"/>
        <v>0</v>
      </c>
      <c r="D74" s="851">
        <f>C74*1.10231*'Emission Factors'!$B$671</f>
        <v>0</v>
      </c>
      <c r="E74" s="849"/>
      <c r="F74" s="852">
        <f>E74*'Emission Factors'!$B$663/1000</f>
        <v>0</v>
      </c>
      <c r="G74" s="849"/>
      <c r="H74" s="853">
        <f t="shared" si="2"/>
        <v>0</v>
      </c>
      <c r="I74" s="1554">
        <f>H74*'Emission Factors'!$B$640</f>
        <v>0</v>
      </c>
      <c r="J74" s="854"/>
      <c r="K74" s="853">
        <f t="shared" si="3"/>
        <v>0</v>
      </c>
      <c r="L74" s="852">
        <f>K74*'Emission Factors'!$B$641</f>
        <v>0</v>
      </c>
      <c r="M74" s="854"/>
      <c r="N74" s="853">
        <f t="shared" si="4"/>
        <v>0</v>
      </c>
      <c r="O74" s="852">
        <f>N74*'Emission Factors'!$B$642</f>
        <v>0</v>
      </c>
      <c r="P74" s="1555"/>
      <c r="Q74" s="1553">
        <f t="shared" si="5"/>
        <v>0</v>
      </c>
      <c r="R74" s="1554">
        <f>Q74*'Emission Factors'!$B$639</f>
        <v>0</v>
      </c>
    </row>
    <row r="75" spans="1:18" s="765" customFormat="1" thickBot="1">
      <c r="A75" s="848"/>
      <c r="B75" s="855"/>
      <c r="C75" s="856">
        <f t="shared" si="1"/>
        <v>0</v>
      </c>
      <c r="D75" s="857">
        <f>C75*1.10231*'Emission Factors'!$B$671</f>
        <v>0</v>
      </c>
      <c r="E75" s="855"/>
      <c r="F75" s="858">
        <f>E75*'Emission Factors'!$B$663/1000</f>
        <v>0</v>
      </c>
      <c r="G75" s="859"/>
      <c r="H75" s="860">
        <f t="shared" si="2"/>
        <v>0</v>
      </c>
      <c r="I75" s="1554">
        <f>H75*'Emission Factors'!$B$640</f>
        <v>0</v>
      </c>
      <c r="J75" s="859"/>
      <c r="K75" s="860">
        <f t="shared" si="3"/>
        <v>0</v>
      </c>
      <c r="L75" s="858">
        <f>K75*'Emission Factors'!$B$641</f>
        <v>0</v>
      </c>
      <c r="M75" s="859"/>
      <c r="N75" s="860">
        <f t="shared" si="4"/>
        <v>0</v>
      </c>
      <c r="O75" s="858">
        <f>N75*'Emission Factors'!$B$642</f>
        <v>0</v>
      </c>
      <c r="P75" s="1556"/>
      <c r="Q75" s="1557">
        <f t="shared" si="5"/>
        <v>0</v>
      </c>
      <c r="R75" s="1554">
        <f>Q75*'Emission Factors'!$B$639</f>
        <v>0</v>
      </c>
    </row>
    <row r="76" spans="1:18" ht="21.75" thickBot="1">
      <c r="C76" s="861" t="s">
        <v>524</v>
      </c>
      <c r="D76" s="861">
        <f>SUM(D40:D75)</f>
        <v>0</v>
      </c>
      <c r="F76" s="861">
        <f>SUM(F40:F75)</f>
        <v>0</v>
      </c>
      <c r="I76" s="861">
        <f>SUM(I40:I75)</f>
        <v>0</v>
      </c>
      <c r="L76" s="861">
        <f>SUM(L40:L75)</f>
        <v>0</v>
      </c>
      <c r="O76" s="861">
        <f>SUM(O40:O75)</f>
        <v>0</v>
      </c>
      <c r="P76" s="1558"/>
      <c r="Q76" s="1558"/>
      <c r="R76" s="1559">
        <f>SUM(R40:R75)</f>
        <v>0</v>
      </c>
    </row>
  </sheetData>
  <sheetProtection selectLockedCells="1"/>
  <mergeCells count="12">
    <mergeCell ref="H1:M1"/>
    <mergeCell ref="B1:E1"/>
    <mergeCell ref="D14:E14"/>
    <mergeCell ref="A35:T35"/>
    <mergeCell ref="A12:T12"/>
    <mergeCell ref="P38:R38"/>
    <mergeCell ref="D37:E37"/>
    <mergeCell ref="E38:F38"/>
    <mergeCell ref="G38:I38"/>
    <mergeCell ref="J38:L38"/>
    <mergeCell ref="M38:O38"/>
    <mergeCell ref="B38:D38"/>
  </mergeCells>
  <pageMargins left="0.7" right="0.7" top="0.75" bottom="0.75" header="0.3" footer="0.3"/>
  <pageSetup orientation="portrait" horizontalDpi="4294967293"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15229-E51F-4EB3-9F63-E87D2DA04112}">
  <sheetPr>
    <tabColor rgb="FFFF9900"/>
  </sheetPr>
  <dimension ref="A1:R64"/>
  <sheetViews>
    <sheetView topLeftCell="A16" zoomScale="85" zoomScaleNormal="85" workbookViewId="0">
      <selection activeCell="E21" sqref="E21"/>
    </sheetView>
  </sheetViews>
  <sheetFormatPr baseColWidth="10" defaultColWidth="27.42578125" defaultRowHeight="18.75"/>
  <cols>
    <col min="1" max="1" width="35" style="882" customWidth="1"/>
    <col min="2" max="2" width="35.85546875" style="744" bestFit="1" customWidth="1"/>
    <col min="3" max="3" width="14.140625" style="744" customWidth="1"/>
    <col min="4" max="5" width="35.5703125" style="744" bestFit="1" customWidth="1"/>
    <col min="6" max="6" width="27.42578125" style="744"/>
    <col min="7" max="7" width="26.85546875" style="744" bestFit="1" customWidth="1"/>
    <col min="8" max="8" width="24.7109375" style="744" bestFit="1" customWidth="1"/>
    <col min="9" max="9" width="35.5703125" style="744" bestFit="1" customWidth="1"/>
    <col min="10" max="10" width="18.85546875" style="744" bestFit="1" customWidth="1"/>
    <col min="11" max="11" width="16.5703125" style="744" bestFit="1" customWidth="1"/>
    <col min="12" max="12" width="5.85546875" style="744" customWidth="1"/>
    <col min="13" max="13" width="13.140625" style="744" bestFit="1" customWidth="1"/>
    <col min="14" max="14" width="5.140625" style="744" customWidth="1"/>
    <col min="15" max="15" width="12.5703125" style="744" bestFit="1" customWidth="1"/>
    <col min="16" max="16" width="7" style="744" customWidth="1"/>
    <col min="17" max="16384" width="27.42578125" style="744"/>
  </cols>
  <sheetData>
    <row r="1" spans="1:18" ht="18.95" customHeight="1" thickBot="1">
      <c r="A1" s="730" t="s">
        <v>80</v>
      </c>
      <c r="B1" s="1998" t="s">
        <v>582</v>
      </c>
      <c r="C1" s="1999"/>
      <c r="D1" s="1999"/>
      <c r="E1" s="1999"/>
      <c r="F1" s="2000"/>
      <c r="I1" s="2047" t="s">
        <v>414</v>
      </c>
      <c r="J1" s="2048"/>
      <c r="K1" s="2048"/>
      <c r="L1" s="2048"/>
      <c r="M1" s="2048"/>
      <c r="N1" s="2049"/>
    </row>
    <row r="2" spans="1:18" ht="56.25">
      <c r="A2" s="862"/>
      <c r="B2" s="714"/>
      <c r="C2" s="714"/>
      <c r="D2" s="714"/>
      <c r="E2" s="714"/>
      <c r="F2" s="863"/>
      <c r="I2" s="864" t="s">
        <v>415</v>
      </c>
      <c r="J2" s="865"/>
      <c r="K2" s="866" t="s">
        <v>416</v>
      </c>
      <c r="L2" s="867"/>
      <c r="M2" s="866" t="s">
        <v>417</v>
      </c>
      <c r="N2" s="868"/>
    </row>
    <row r="3" spans="1:18">
      <c r="A3" s="2019" t="s">
        <v>516</v>
      </c>
      <c r="B3" s="2020"/>
      <c r="C3" s="714"/>
      <c r="D3" s="714"/>
      <c r="E3" s="714"/>
      <c r="K3" s="714"/>
      <c r="L3" s="714"/>
      <c r="M3" s="862"/>
      <c r="N3" s="714"/>
      <c r="O3" s="862"/>
    </row>
    <row r="4" spans="1:18">
      <c r="A4" s="808" t="s">
        <v>583</v>
      </c>
      <c r="B4" s="869">
        <f>D63</f>
        <v>0</v>
      </c>
      <c r="C4" s="714"/>
      <c r="D4" s="714"/>
      <c r="E4" s="714"/>
      <c r="F4" s="870"/>
      <c r="R4" s="870"/>
    </row>
    <row r="5" spans="1:18" ht="41.25" customHeight="1">
      <c r="A5" s="808" t="s">
        <v>97</v>
      </c>
      <c r="B5" s="869">
        <f>I11</f>
        <v>0</v>
      </c>
      <c r="C5" s="714"/>
      <c r="D5" s="714"/>
      <c r="E5" s="714"/>
      <c r="F5" s="870"/>
      <c r="R5" s="870"/>
    </row>
    <row r="6" spans="1:18">
      <c r="A6" s="862"/>
      <c r="B6" s="714"/>
      <c r="C6" s="714"/>
      <c r="D6" s="714"/>
      <c r="E6" s="714"/>
      <c r="F6" s="871"/>
      <c r="G6" s="871"/>
    </row>
    <row r="7" spans="1:18">
      <c r="A7" s="862"/>
      <c r="B7" s="714"/>
      <c r="C7" s="714"/>
      <c r="D7" s="714"/>
      <c r="E7" s="714"/>
      <c r="F7" s="871"/>
      <c r="G7" s="871"/>
    </row>
    <row r="8" spans="1:18" ht="36">
      <c r="A8" s="2009" t="s">
        <v>80</v>
      </c>
      <c r="B8" s="2010"/>
      <c r="C8" s="2010"/>
      <c r="D8" s="2010"/>
      <c r="E8" s="871"/>
      <c r="F8" s="2009" t="s">
        <v>97</v>
      </c>
      <c r="G8" s="2010"/>
      <c r="H8" s="2010"/>
      <c r="I8" s="2010"/>
    </row>
    <row r="9" spans="1:18" s="743" customFormat="1" ht="24" thickBot="1">
      <c r="A9" s="727" t="s">
        <v>427</v>
      </c>
      <c r="B9" s="2050"/>
      <c r="C9" s="2050"/>
      <c r="D9" s="2050"/>
      <c r="E9" s="765"/>
      <c r="F9" s="727" t="s">
        <v>427</v>
      </c>
      <c r="G9" s="2050"/>
      <c r="H9" s="2050"/>
      <c r="I9" s="2050"/>
    </row>
    <row r="10" spans="1:18" ht="37.5">
      <c r="A10" s="692" t="s">
        <v>584</v>
      </c>
      <c r="B10" s="692" t="s">
        <v>585</v>
      </c>
      <c r="C10" s="692" t="s">
        <v>586</v>
      </c>
      <c r="D10" s="693" t="s">
        <v>504</v>
      </c>
      <c r="E10" s="765"/>
      <c r="F10" s="872"/>
      <c r="G10" s="692" t="s">
        <v>587</v>
      </c>
      <c r="H10" s="692" t="s">
        <v>586</v>
      </c>
      <c r="I10" s="693" t="s">
        <v>504</v>
      </c>
    </row>
    <row r="11" spans="1:18" ht="19.5" thickBot="1">
      <c r="A11" s="715" t="s">
        <v>588</v>
      </c>
      <c r="B11" s="715" t="s">
        <v>589</v>
      </c>
      <c r="C11" s="873"/>
      <c r="D11" s="874">
        <f>SUM(C11*'Emission Factors'!C5)/1000</f>
        <v>0</v>
      </c>
      <c r="E11" s="765"/>
      <c r="F11" s="875" t="s">
        <v>590</v>
      </c>
      <c r="G11" s="875" t="s">
        <v>591</v>
      </c>
      <c r="H11" s="873"/>
      <c r="I11" s="876">
        <f>SUM(H11*'Emission Factors'!C5)/1000</f>
        <v>0</v>
      </c>
    </row>
    <row r="12" spans="1:18">
      <c r="A12" s="715" t="s">
        <v>592</v>
      </c>
      <c r="B12" s="715" t="s">
        <v>593</v>
      </c>
      <c r="C12" s="873"/>
      <c r="D12" s="874">
        <f>SUM(C12*'Emission Factors'!C6)/1000</f>
        <v>0</v>
      </c>
      <c r="E12" s="765"/>
      <c r="F12" s="871"/>
    </row>
    <row r="13" spans="1:18">
      <c r="A13" s="715" t="s">
        <v>594</v>
      </c>
      <c r="B13" s="715" t="s">
        <v>595</v>
      </c>
      <c r="C13" s="873"/>
      <c r="D13" s="874">
        <f>SUM(C13*'Emission Factors'!C7)/1000</f>
        <v>0</v>
      </c>
      <c r="E13" s="765"/>
      <c r="F13" s="871"/>
    </row>
    <row r="14" spans="1:18" ht="19.5" thickBot="1">
      <c r="A14" s="715" t="s">
        <v>596</v>
      </c>
      <c r="B14" s="715" t="s">
        <v>597</v>
      </c>
      <c r="C14" s="873"/>
      <c r="D14" s="877">
        <f>SUM(C14*'Emission Factors'!D144)/1000</f>
        <v>0</v>
      </c>
      <c r="E14" s="871"/>
    </row>
    <row r="15" spans="1:18" ht="18.95" customHeight="1" thickBot="1">
      <c r="A15" s="878" t="s">
        <v>598</v>
      </c>
      <c r="B15" s="879"/>
      <c r="C15" s="879"/>
      <c r="D15" s="879"/>
      <c r="E15" s="871"/>
      <c r="F15" s="871"/>
    </row>
    <row r="16" spans="1:18" ht="19.5" thickBot="1">
      <c r="A16" s="715" t="s">
        <v>599</v>
      </c>
      <c r="B16" s="715" t="s">
        <v>2456</v>
      </c>
      <c r="C16" s="873"/>
      <c r="D16" s="880">
        <f>SUM(C16*'Emission Factors'!E175)/1000</f>
        <v>0</v>
      </c>
      <c r="E16" s="871"/>
    </row>
    <row r="17" spans="1:5" ht="19.5" thickBot="1">
      <c r="A17" s="715" t="s">
        <v>600</v>
      </c>
      <c r="B17" s="715" t="s">
        <v>2453</v>
      </c>
      <c r="C17" s="873"/>
      <c r="D17" s="880">
        <f>SUM(C17*'Emission Factors'!E176)/1000</f>
        <v>0</v>
      </c>
      <c r="E17" s="871"/>
    </row>
    <row r="18" spans="1:5" ht="19.5" thickBot="1">
      <c r="A18" s="715" t="s">
        <v>601</v>
      </c>
      <c r="B18" s="715" t="s">
        <v>2457</v>
      </c>
      <c r="C18" s="873"/>
      <c r="D18" s="880">
        <f>SUM(C18*'Emission Factors'!E177)/1000</f>
        <v>0</v>
      </c>
      <c r="E18" s="871"/>
    </row>
    <row r="19" spans="1:5" ht="19.5" thickBot="1">
      <c r="A19" s="715" t="s">
        <v>2451</v>
      </c>
      <c r="B19" s="715" t="s">
        <v>2454</v>
      </c>
      <c r="C19" s="873"/>
      <c r="D19" s="880">
        <f>SUM(C19*'Emission Factors'!E178)/1000</f>
        <v>0</v>
      </c>
      <c r="E19" s="871"/>
    </row>
    <row r="20" spans="1:5" ht="19.5" thickBot="1">
      <c r="A20" s="715" t="s">
        <v>2452</v>
      </c>
      <c r="B20" s="715" t="s">
        <v>2455</v>
      </c>
      <c r="C20" s="873"/>
      <c r="D20" s="880">
        <f>SUM(C20*'Emission Factors'!E179)/1000</f>
        <v>0</v>
      </c>
      <c r="E20" s="871"/>
    </row>
    <row r="21" spans="1:5" ht="19.5" thickBot="1">
      <c r="A21" s="715" t="s">
        <v>602</v>
      </c>
      <c r="B21" s="715" t="s">
        <v>2458</v>
      </c>
      <c r="C21" s="873"/>
      <c r="D21" s="880">
        <f>SUM(C21*'Emission Factors'!E180)/1000</f>
        <v>0</v>
      </c>
      <c r="E21" s="871"/>
    </row>
    <row r="22" spans="1:5" ht="19.5" thickBot="1">
      <c r="A22" s="715" t="s">
        <v>603</v>
      </c>
      <c r="B22" s="715" t="s">
        <v>2459</v>
      </c>
      <c r="C22" s="873"/>
      <c r="D22" s="880">
        <f>SUM(C22*'Emission Factors'!E181)/1000</f>
        <v>0</v>
      </c>
      <c r="E22" s="871"/>
    </row>
    <row r="23" spans="1:5" ht="19.5" thickBot="1">
      <c r="A23" s="715" t="s">
        <v>604</v>
      </c>
      <c r="B23" s="715" t="s">
        <v>2460</v>
      </c>
      <c r="C23" s="873"/>
      <c r="D23" s="880">
        <f>SUM(C23*'Emission Factors'!E182)/1000</f>
        <v>0</v>
      </c>
      <c r="E23" s="871"/>
    </row>
    <row r="24" spans="1:5" ht="19.5" thickBot="1">
      <c r="A24" s="715" t="s">
        <v>607</v>
      </c>
      <c r="B24" s="715" t="s">
        <v>608</v>
      </c>
      <c r="C24" s="873"/>
      <c r="D24" s="880">
        <f>SUM(C24*'Emission Factors'!E183)/1000</f>
        <v>0</v>
      </c>
      <c r="E24" s="871"/>
    </row>
    <row r="25" spans="1:5" ht="19.5" thickBot="1">
      <c r="A25" s="715" t="s">
        <v>609</v>
      </c>
      <c r="B25" s="715" t="s">
        <v>610</v>
      </c>
      <c r="C25" s="873"/>
      <c r="D25" s="880">
        <f>SUM(C25*'Emission Factors'!E184)/1000</f>
        <v>0</v>
      </c>
      <c r="E25" s="871"/>
    </row>
    <row r="26" spans="1:5" ht="19.5" thickBot="1">
      <c r="A26" s="715" t="s">
        <v>611</v>
      </c>
      <c r="B26" s="715" t="s">
        <v>612</v>
      </c>
      <c r="C26" s="873"/>
      <c r="D26" s="880">
        <f>SUM(C26*'Emission Factors'!E185)/1000</f>
        <v>0</v>
      </c>
      <c r="E26" s="871"/>
    </row>
    <row r="27" spans="1:5" ht="19.5" thickBot="1">
      <c r="A27" s="715" t="s">
        <v>613</v>
      </c>
      <c r="B27" s="715" t="s">
        <v>614</v>
      </c>
      <c r="C27" s="873"/>
      <c r="D27" s="880">
        <f>SUM(C27*'Emission Factors'!E186)/1000</f>
        <v>0</v>
      </c>
      <c r="E27" s="871"/>
    </row>
    <row r="28" spans="1:5" ht="19.5" thickBot="1">
      <c r="A28" s="715" t="s">
        <v>615</v>
      </c>
      <c r="B28" s="715" t="s">
        <v>616</v>
      </c>
      <c r="C28" s="873"/>
      <c r="D28" s="880">
        <f>SUM(C28*'Emission Factors'!E187)/1000</f>
        <v>0</v>
      </c>
      <c r="E28" s="871"/>
    </row>
    <row r="29" spans="1:5" ht="19.5" thickBot="1">
      <c r="A29" s="715" t="s">
        <v>617</v>
      </c>
      <c r="B29" s="715" t="s">
        <v>618</v>
      </c>
      <c r="C29" s="873"/>
      <c r="D29" s="880">
        <f>SUM(C29*'Emission Factors'!E188)/1000</f>
        <v>0</v>
      </c>
      <c r="E29" s="871"/>
    </row>
    <row r="30" spans="1:5" ht="19.5" thickBot="1">
      <c r="A30" s="715" t="s">
        <v>619</v>
      </c>
      <c r="B30" s="715" t="s">
        <v>620</v>
      </c>
      <c r="C30" s="873"/>
      <c r="D30" s="880">
        <f>SUM(C30*'Emission Factors'!E189)/1000</f>
        <v>0</v>
      </c>
      <c r="E30" s="871"/>
    </row>
    <row r="31" spans="1:5" ht="19.5" thickBot="1">
      <c r="A31" s="715" t="s">
        <v>621</v>
      </c>
      <c r="B31" s="715" t="s">
        <v>622</v>
      </c>
      <c r="C31" s="873"/>
      <c r="D31" s="880">
        <f>SUM(C31*'Emission Factors'!E190)/1000</f>
        <v>0</v>
      </c>
      <c r="E31" s="871"/>
    </row>
    <row r="32" spans="1:5" ht="19.5" thickBot="1">
      <c r="A32" s="715" t="s">
        <v>623</v>
      </c>
      <c r="B32" s="715" t="s">
        <v>624</v>
      </c>
      <c r="C32" s="873"/>
      <c r="D32" s="880">
        <f>SUM(C32*'Emission Factors'!E191)/1000</f>
        <v>0</v>
      </c>
      <c r="E32" s="871"/>
    </row>
    <row r="33" spans="1:6" ht="19.5" thickBot="1">
      <c r="A33" s="715" t="s">
        <v>625</v>
      </c>
      <c r="B33" s="715" t="s">
        <v>626</v>
      </c>
      <c r="C33" s="873"/>
      <c r="D33" s="880">
        <f>SUM(C33*'Emission Factors'!E192)/1000</f>
        <v>0</v>
      </c>
      <c r="E33" s="871"/>
    </row>
    <row r="34" spans="1:6" ht="19.5" thickBot="1">
      <c r="A34" s="715" t="s">
        <v>627</v>
      </c>
      <c r="B34" s="715" t="s">
        <v>628</v>
      </c>
      <c r="C34" s="873"/>
      <c r="D34" s="880">
        <f>SUM(C34*'Emission Factors'!E193)/1000</f>
        <v>0</v>
      </c>
      <c r="E34" s="871"/>
    </row>
    <row r="35" spans="1:6" ht="19.5" thickBot="1">
      <c r="A35" s="715" t="s">
        <v>629</v>
      </c>
      <c r="B35" s="715" t="s">
        <v>630</v>
      </c>
      <c r="C35" s="873"/>
      <c r="D35" s="880">
        <f>SUM(C35*'Emission Factors'!E194)/1000</f>
        <v>0</v>
      </c>
      <c r="E35" s="871"/>
    </row>
    <row r="36" spans="1:6">
      <c r="A36" s="715" t="s">
        <v>631</v>
      </c>
      <c r="B36" s="715" t="s">
        <v>632</v>
      </c>
      <c r="C36" s="873"/>
      <c r="D36" s="880">
        <f>SUM(C36*'Emission Factors'!E195)/1000</f>
        <v>0</v>
      </c>
      <c r="E36" s="871"/>
    </row>
    <row r="37" spans="1:6" ht="19.5" thickBot="1">
      <c r="A37" s="878" t="s">
        <v>633</v>
      </c>
      <c r="B37" s="879"/>
      <c r="C37" s="879"/>
      <c r="D37" s="879"/>
      <c r="E37" s="871"/>
      <c r="F37" s="871"/>
    </row>
    <row r="38" spans="1:6" ht="19.5" thickBot="1">
      <c r="A38" s="715" t="s">
        <v>634</v>
      </c>
      <c r="B38" s="715" t="s">
        <v>635</v>
      </c>
      <c r="C38" s="873"/>
      <c r="D38" s="880">
        <f>SUM(C38*'Emission Factors'!D146)/1000</f>
        <v>0</v>
      </c>
      <c r="E38" s="871"/>
    </row>
    <row r="39" spans="1:6" ht="19.5" thickBot="1">
      <c r="A39" s="715" t="s">
        <v>636</v>
      </c>
      <c r="B39" s="715" t="s">
        <v>637</v>
      </c>
      <c r="C39" s="873"/>
      <c r="D39" s="880">
        <f>SUM(C39*'Emission Factors'!D147)/1000</f>
        <v>0</v>
      </c>
      <c r="E39" s="871"/>
    </row>
    <row r="40" spans="1:6" ht="19.5" thickBot="1">
      <c r="A40" s="715" t="s">
        <v>638</v>
      </c>
      <c r="B40" s="715" t="s">
        <v>639</v>
      </c>
      <c r="C40" s="873"/>
      <c r="D40" s="880">
        <f>SUM(C40*'Emission Factors'!D148)/1000</f>
        <v>0</v>
      </c>
      <c r="E40" s="871"/>
    </row>
    <row r="41" spans="1:6" ht="19.5" thickBot="1">
      <c r="A41" s="715" t="s">
        <v>640</v>
      </c>
      <c r="B41" s="715" t="s">
        <v>641</v>
      </c>
      <c r="C41" s="873"/>
      <c r="D41" s="880">
        <f>SUM(C41*'Emission Factors'!D149)/1000</f>
        <v>0</v>
      </c>
      <c r="E41" s="871"/>
    </row>
    <row r="42" spans="1:6" ht="19.5" thickBot="1">
      <c r="A42" s="715" t="s">
        <v>642</v>
      </c>
      <c r="B42" s="715" t="s">
        <v>643</v>
      </c>
      <c r="C42" s="873"/>
      <c r="D42" s="880">
        <f>SUM(C42*'Emission Factors'!D150)/1000</f>
        <v>0</v>
      </c>
      <c r="E42" s="871"/>
    </row>
    <row r="43" spans="1:6" ht="19.5" thickBot="1">
      <c r="A43" s="715" t="s">
        <v>644</v>
      </c>
      <c r="B43" s="715" t="s">
        <v>645</v>
      </c>
      <c r="C43" s="873"/>
      <c r="D43" s="880">
        <f>SUM(C43*'Emission Factors'!D151)/1000</f>
        <v>0</v>
      </c>
      <c r="E43" s="871"/>
    </row>
    <row r="44" spans="1:6" ht="19.5" thickBot="1">
      <c r="A44" s="715" t="s">
        <v>646</v>
      </c>
      <c r="B44" s="715" t="s">
        <v>647</v>
      </c>
      <c r="C44" s="873"/>
      <c r="D44" s="880">
        <f>SUM(C44*'Emission Factors'!D152)/1000</f>
        <v>0</v>
      </c>
      <c r="E44" s="871"/>
    </row>
    <row r="45" spans="1:6" ht="19.5" thickBot="1">
      <c r="A45" s="715" t="s">
        <v>648</v>
      </c>
      <c r="B45" s="715" t="s">
        <v>649</v>
      </c>
      <c r="C45" s="873"/>
      <c r="D45" s="880">
        <f>SUM(C45*'Emission Factors'!D153)/1000</f>
        <v>0</v>
      </c>
      <c r="E45" s="871"/>
    </row>
    <row r="46" spans="1:6" ht="19.5" thickBot="1">
      <c r="A46" s="715" t="s">
        <v>650</v>
      </c>
      <c r="B46" s="715" t="s">
        <v>651</v>
      </c>
      <c r="C46" s="873"/>
      <c r="D46" s="880">
        <f>SUM(C46*'Emission Factors'!D154)/1000</f>
        <v>0</v>
      </c>
      <c r="E46" s="871"/>
    </row>
    <row r="47" spans="1:6" ht="19.5" thickBot="1">
      <c r="A47" s="715" t="s">
        <v>652</v>
      </c>
      <c r="B47" s="715" t="s">
        <v>653</v>
      </c>
      <c r="C47" s="873"/>
      <c r="D47" s="880">
        <f>SUM(C47*'Emission Factors'!D155)/1000</f>
        <v>0</v>
      </c>
      <c r="E47" s="871"/>
    </row>
    <row r="48" spans="1:6" ht="19.5" thickBot="1">
      <c r="A48" s="715" t="s">
        <v>654</v>
      </c>
      <c r="B48" s="715" t="s">
        <v>655</v>
      </c>
      <c r="C48" s="873"/>
      <c r="D48" s="880">
        <f>SUM(C48*'Emission Factors'!D156)/1000</f>
        <v>0</v>
      </c>
      <c r="E48" s="871"/>
    </row>
    <row r="49" spans="1:7" ht="19.5" thickBot="1">
      <c r="A49" s="715" t="s">
        <v>656</v>
      </c>
      <c r="B49" s="715" t="s">
        <v>657</v>
      </c>
      <c r="C49" s="873"/>
      <c r="D49" s="880">
        <f>SUM(C49*'Emission Factors'!D157)/1000</f>
        <v>0</v>
      </c>
      <c r="E49" s="871"/>
    </row>
    <row r="50" spans="1:7" ht="19.5" thickBot="1">
      <c r="A50" s="715" t="s">
        <v>658</v>
      </c>
      <c r="B50" s="715" t="s">
        <v>659</v>
      </c>
      <c r="C50" s="873"/>
      <c r="D50" s="880">
        <f>SUM(C50*'Emission Factors'!D158)/1000</f>
        <v>0</v>
      </c>
      <c r="E50" s="871"/>
    </row>
    <row r="51" spans="1:7" ht="19.5" thickBot="1">
      <c r="A51" s="715" t="s">
        <v>660</v>
      </c>
      <c r="B51" s="715" t="s">
        <v>661</v>
      </c>
      <c r="C51" s="873"/>
      <c r="D51" s="880">
        <f>SUM(C51*'Emission Factors'!D159)/1000</f>
        <v>0</v>
      </c>
      <c r="E51" s="871"/>
    </row>
    <row r="52" spans="1:7">
      <c r="A52" s="715" t="s">
        <v>662</v>
      </c>
      <c r="B52" s="715" t="s">
        <v>663</v>
      </c>
      <c r="C52" s="873"/>
      <c r="D52" s="880">
        <f>SUM(C52*'Emission Factors'!D160)/1000</f>
        <v>0</v>
      </c>
      <c r="E52" s="871"/>
    </row>
    <row r="53" spans="1:7" ht="19.5" thickBot="1">
      <c r="A53" s="878" t="s">
        <v>664</v>
      </c>
      <c r="B53" s="879"/>
      <c r="C53" s="879"/>
      <c r="D53" s="879"/>
      <c r="E53" s="871"/>
      <c r="F53" s="871"/>
    </row>
    <row r="54" spans="1:7" ht="38.25" thickBot="1">
      <c r="A54" s="715" t="s">
        <v>665</v>
      </c>
      <c r="B54" s="715" t="s">
        <v>666</v>
      </c>
      <c r="C54" s="873"/>
      <c r="D54" s="880">
        <f>SUM(C54*'Emission Factors'!D162)/1000</f>
        <v>0</v>
      </c>
      <c r="E54" s="871"/>
    </row>
    <row r="55" spans="1:7" ht="38.25" thickBot="1">
      <c r="A55" s="715" t="s">
        <v>667</v>
      </c>
      <c r="B55" s="715" t="s">
        <v>668</v>
      </c>
      <c r="C55" s="873"/>
      <c r="D55" s="880">
        <f>SUM(C55*'Emission Factors'!D163)/1000</f>
        <v>0</v>
      </c>
      <c r="E55" s="871"/>
    </row>
    <row r="56" spans="1:7" ht="39.6" customHeight="1" thickBot="1">
      <c r="A56" s="715" t="s">
        <v>669</v>
      </c>
      <c r="B56" s="715" t="s">
        <v>670</v>
      </c>
      <c r="C56" s="873"/>
      <c r="D56" s="880">
        <f>SUM(C56*'Emission Factors'!D164)/1000</f>
        <v>0</v>
      </c>
      <c r="E56" s="871"/>
    </row>
    <row r="57" spans="1:7" ht="39.6" customHeight="1" thickBot="1">
      <c r="A57" s="715" t="s">
        <v>671</v>
      </c>
      <c r="B57" s="715" t="s">
        <v>672</v>
      </c>
      <c r="C57" s="873"/>
      <c r="D57" s="880">
        <f>SUM(C57*'Emission Factors'!D165)/1000</f>
        <v>0</v>
      </c>
      <c r="E57" s="871"/>
    </row>
    <row r="58" spans="1:7" ht="19.5" thickBot="1">
      <c r="A58" s="715" t="s">
        <v>673</v>
      </c>
      <c r="B58" s="715" t="s">
        <v>674</v>
      </c>
      <c r="C58" s="873"/>
      <c r="D58" s="880">
        <f>SUM(C58*'Emission Factors'!D166)/1000</f>
        <v>0</v>
      </c>
      <c r="E58" s="871"/>
    </row>
    <row r="59" spans="1:7" ht="19.5" thickBot="1">
      <c r="A59" s="715" t="s">
        <v>675</v>
      </c>
      <c r="B59" s="715" t="s">
        <v>676</v>
      </c>
      <c r="C59" s="873"/>
      <c r="D59" s="880">
        <f>SUM(C59*'Emission Factors'!D167)/1000</f>
        <v>0</v>
      </c>
      <c r="E59" s="871"/>
    </row>
    <row r="60" spans="1:7">
      <c r="A60" s="715" t="s">
        <v>677</v>
      </c>
      <c r="B60" s="715" t="s">
        <v>678</v>
      </c>
      <c r="C60" s="881"/>
      <c r="D60" s="880">
        <f>SUM(C60*'Emission Factors'!D168)/1000</f>
        <v>0</v>
      </c>
      <c r="E60" s="871"/>
    </row>
    <row r="61" spans="1:7">
      <c r="A61" s="1563" t="s">
        <v>605</v>
      </c>
      <c r="B61" s="1563" t="s">
        <v>1544</v>
      </c>
      <c r="C61" s="1564"/>
      <c r="D61" s="1562">
        <f>SUM(C61*'Emission Factors'!E232)/1000</f>
        <v>0</v>
      </c>
      <c r="E61" s="871"/>
    </row>
    <row r="62" spans="1:7" ht="38.25" thickBot="1">
      <c r="A62" s="1563" t="s">
        <v>606</v>
      </c>
      <c r="B62" s="1563" t="s">
        <v>1530</v>
      </c>
      <c r="C62" s="1564"/>
      <c r="D62" s="1562">
        <f>SUM(C62*'Emission Factors'!E225)/1000</f>
        <v>0</v>
      </c>
      <c r="E62" s="871"/>
    </row>
    <row r="63" spans="1:7" ht="24" thickBot="1">
      <c r="C63" s="883" t="s">
        <v>434</v>
      </c>
      <c r="D63" s="884">
        <f>SUM(D54:D62,D38:D52,D11:D14,D16:D36)</f>
        <v>0</v>
      </c>
      <c r="E63" s="871"/>
      <c r="F63" s="871"/>
    </row>
    <row r="64" spans="1:7">
      <c r="F64" s="871"/>
      <c r="G64" s="871"/>
    </row>
  </sheetData>
  <sheetProtection selectLockedCells="1"/>
  <mergeCells count="7">
    <mergeCell ref="I1:N1"/>
    <mergeCell ref="B1:F1"/>
    <mergeCell ref="A3:B3"/>
    <mergeCell ref="F8:I8"/>
    <mergeCell ref="G9:I9"/>
    <mergeCell ref="B9:D9"/>
    <mergeCell ref="A8:D8"/>
  </mergeCells>
  <pageMargins left="0.7" right="0.7" top="0.75" bottom="0.75" header="0.3" footer="0.3"/>
  <pageSetup orientation="portrait" horizontalDpi="4294967293"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20192-C538-4B94-BF22-CE32321D1EDD}">
  <sheetPr>
    <tabColor rgb="FFFF9900"/>
  </sheetPr>
  <dimension ref="A1:R41"/>
  <sheetViews>
    <sheetView zoomScale="60" zoomScaleNormal="60" workbookViewId="0">
      <selection activeCell="B11" sqref="B11:C12"/>
    </sheetView>
  </sheetViews>
  <sheetFormatPr baseColWidth="10" defaultColWidth="9.140625" defaultRowHeight="18.75"/>
  <cols>
    <col min="1" max="1" width="20.140625" style="744" customWidth="1"/>
    <col min="2" max="2" width="24.28515625" style="744" bestFit="1" customWidth="1"/>
    <col min="3" max="3" width="21.85546875" style="744" customWidth="1"/>
    <col min="4" max="5" width="29" style="744" bestFit="1" customWidth="1"/>
    <col min="6" max="6" width="24.140625" style="744" bestFit="1" customWidth="1"/>
    <col min="7" max="7" width="19.140625" style="744" bestFit="1" customWidth="1"/>
    <col min="8" max="8" width="24.85546875" style="744" bestFit="1" customWidth="1"/>
    <col min="9" max="9" width="21.5703125" style="744" bestFit="1" customWidth="1"/>
    <col min="10" max="10" width="29" style="744" bestFit="1" customWidth="1"/>
    <col min="11" max="11" width="19.140625" style="744" bestFit="1" customWidth="1"/>
    <col min="12" max="12" width="29" style="744" bestFit="1" customWidth="1"/>
    <col min="13" max="13" width="19.140625" style="744" bestFit="1" customWidth="1"/>
    <col min="14" max="14" width="21.5703125" style="744" bestFit="1" customWidth="1"/>
    <col min="15" max="15" width="22.42578125" style="744" bestFit="1" customWidth="1"/>
    <col min="16" max="16" width="14.5703125" style="744" bestFit="1" customWidth="1"/>
    <col min="17" max="17" width="21.5703125" style="744" bestFit="1" customWidth="1"/>
    <col min="18" max="18" width="19.140625" style="744" bestFit="1" customWidth="1"/>
    <col min="19" max="16384" width="9.140625" style="744"/>
  </cols>
  <sheetData>
    <row r="1" spans="1:18" ht="52.5" customHeight="1" thickBot="1">
      <c r="A1" s="825" t="s">
        <v>83</v>
      </c>
      <c r="B1" s="2045" t="s">
        <v>679</v>
      </c>
      <c r="C1" s="2022"/>
      <c r="D1" s="2022"/>
      <c r="E1" s="2023"/>
      <c r="J1" s="2047" t="s">
        <v>414</v>
      </c>
      <c r="K1" s="2048"/>
      <c r="L1" s="2048"/>
      <c r="M1" s="2048"/>
      <c r="N1" s="2048"/>
      <c r="O1" s="2049"/>
    </row>
    <row r="2" spans="1:18">
      <c r="J2" s="864" t="s">
        <v>415</v>
      </c>
      <c r="K2" s="865"/>
      <c r="L2" s="866" t="s">
        <v>416</v>
      </c>
      <c r="M2" s="867"/>
      <c r="N2" s="866" t="s">
        <v>417</v>
      </c>
      <c r="O2" s="868"/>
    </row>
    <row r="3" spans="1:18">
      <c r="B3" s="692" t="s">
        <v>680</v>
      </c>
      <c r="C3" s="692" t="s">
        <v>62</v>
      </c>
    </row>
    <row r="4" spans="1:18" ht="37.5">
      <c r="A4" s="885"/>
      <c r="B4" s="692" t="s">
        <v>547</v>
      </c>
      <c r="C4" s="692" t="s">
        <v>681</v>
      </c>
    </row>
    <row r="5" spans="1:18" ht="37.5">
      <c r="A5" s="692" t="s">
        <v>682</v>
      </c>
      <c r="B5" s="886">
        <f>SUM(L23,G40)</f>
        <v>0</v>
      </c>
      <c r="C5" s="886">
        <f>SUM(M23,H40)</f>
        <v>0</v>
      </c>
    </row>
    <row r="7" spans="1:18" s="740" customFormat="1" ht="36">
      <c r="A7" s="1993" t="s">
        <v>683</v>
      </c>
      <c r="B7" s="1994"/>
      <c r="C7" s="1994"/>
      <c r="D7" s="1994"/>
      <c r="E7" s="1994"/>
      <c r="F7" s="1994"/>
      <c r="G7" s="1994"/>
      <c r="H7" s="1994"/>
      <c r="I7" s="1994"/>
      <c r="J7" s="1994"/>
      <c r="K7" s="1994"/>
      <c r="L7" s="1994"/>
      <c r="M7" s="1994"/>
      <c r="N7" s="1994"/>
      <c r="O7" s="1994"/>
      <c r="P7" s="1994"/>
      <c r="Q7" s="1994"/>
      <c r="R7" s="1994"/>
    </row>
    <row r="8" spans="1:18" ht="19.5" thickBot="1"/>
    <row r="9" spans="1:18" ht="23.25">
      <c r="A9" s="743"/>
      <c r="B9" s="743"/>
      <c r="C9" s="743"/>
      <c r="D9" s="743"/>
      <c r="E9" s="2007" t="s">
        <v>427</v>
      </c>
      <c r="F9" s="2008"/>
      <c r="G9" s="743"/>
      <c r="H9" s="743"/>
      <c r="I9" s="743"/>
      <c r="J9" s="743"/>
      <c r="K9" s="743"/>
      <c r="L9" s="887" t="s">
        <v>680</v>
      </c>
      <c r="M9" s="888" t="s">
        <v>62</v>
      </c>
      <c r="N9" s="889"/>
      <c r="O9" s="743"/>
      <c r="Q9" s="889"/>
    </row>
    <row r="10" spans="1:18" ht="56.25">
      <c r="A10" s="890" t="s">
        <v>428</v>
      </c>
      <c r="B10" s="890" t="s">
        <v>684</v>
      </c>
      <c r="C10" s="890" t="s">
        <v>685</v>
      </c>
      <c r="D10" s="890" t="s">
        <v>686</v>
      </c>
      <c r="E10" s="890" t="s">
        <v>687</v>
      </c>
      <c r="F10" s="890" t="s">
        <v>688</v>
      </c>
      <c r="G10" s="890" t="s">
        <v>689</v>
      </c>
      <c r="H10" s="891" t="s">
        <v>448</v>
      </c>
      <c r="I10" s="692" t="s">
        <v>547</v>
      </c>
      <c r="J10" s="692" t="s">
        <v>690</v>
      </c>
      <c r="K10" s="841" t="s">
        <v>691</v>
      </c>
      <c r="L10" s="845" t="s">
        <v>692</v>
      </c>
      <c r="M10" s="847" t="s">
        <v>693</v>
      </c>
    </row>
    <row r="11" spans="1:18">
      <c r="A11" s="892"/>
      <c r="B11" s="892"/>
      <c r="C11" s="892"/>
      <c r="D11" s="893">
        <f>B11*2.47105</f>
        <v>0</v>
      </c>
      <c r="E11" s="893">
        <f>C11*2.47105</f>
        <v>0</v>
      </c>
      <c r="F11" s="894">
        <v>7</v>
      </c>
      <c r="G11" s="893">
        <f>((E11*F11)/2000)*0.907185*D11</f>
        <v>0</v>
      </c>
      <c r="H11" s="895">
        <f>G11*'Emission Factors'!$B$266</f>
        <v>0</v>
      </c>
      <c r="I11" s="753">
        <f>H11*'Emission Factors'!$C$266*0.001</f>
        <v>0</v>
      </c>
      <c r="J11" s="753">
        <f>H11*'Emission Factors'!$D$266*0.001</f>
        <v>0</v>
      </c>
      <c r="K11" s="896">
        <f>H11*'Emission Factors'!$E$266*0.001</f>
        <v>0</v>
      </c>
      <c r="L11" s="754">
        <f>I11</f>
        <v>0</v>
      </c>
      <c r="M11" s="802">
        <f>SUM(J11:K11)</f>
        <v>0</v>
      </c>
    </row>
    <row r="12" spans="1:18">
      <c r="A12" s="892"/>
      <c r="B12" s="892"/>
      <c r="C12" s="892"/>
      <c r="D12" s="893">
        <f t="shared" ref="D12:D22" si="0">B12*2.47105</f>
        <v>0</v>
      </c>
      <c r="E12" s="893">
        <f t="shared" ref="E12:E22" si="1">C12*2.47105</f>
        <v>0</v>
      </c>
      <c r="F12" s="894">
        <v>7</v>
      </c>
      <c r="G12" s="893">
        <f t="shared" ref="G12:G22" si="2">((E12*F12)/2000)*0.907185*D12</f>
        <v>0</v>
      </c>
      <c r="H12" s="895">
        <f>G12*'Emission Factors'!$B$266</f>
        <v>0</v>
      </c>
      <c r="I12" s="753">
        <f>H12*'Emission Factors'!$C$266*0.001</f>
        <v>0</v>
      </c>
      <c r="J12" s="753">
        <f>H12*'Emission Factors'!$D$266*0.001</f>
        <v>0</v>
      </c>
      <c r="K12" s="896">
        <f>H12*'Emission Factors'!$E$266*0.001</f>
        <v>0</v>
      </c>
      <c r="L12" s="754">
        <f t="shared" ref="L12:L22" si="3">I12</f>
        <v>0</v>
      </c>
      <c r="M12" s="802">
        <f t="shared" ref="M12:M22" si="4">SUM(J12:K12)</f>
        <v>0</v>
      </c>
    </row>
    <row r="13" spans="1:18">
      <c r="A13" s="892"/>
      <c r="B13" s="892"/>
      <c r="C13" s="892"/>
      <c r="D13" s="893">
        <f t="shared" si="0"/>
        <v>0</v>
      </c>
      <c r="E13" s="893">
        <f t="shared" si="1"/>
        <v>0</v>
      </c>
      <c r="F13" s="894">
        <v>7</v>
      </c>
      <c r="G13" s="893">
        <f t="shared" si="2"/>
        <v>0</v>
      </c>
      <c r="H13" s="895">
        <f>G13*'Emission Factors'!$B$266</f>
        <v>0</v>
      </c>
      <c r="I13" s="753">
        <f>H13*'Emission Factors'!$C$266*0.001</f>
        <v>0</v>
      </c>
      <c r="J13" s="753">
        <f>H13*'Emission Factors'!$D$266*0.001</f>
        <v>0</v>
      </c>
      <c r="K13" s="896">
        <f>H13*'Emission Factors'!$E$266*0.001</f>
        <v>0</v>
      </c>
      <c r="L13" s="754">
        <f t="shared" si="3"/>
        <v>0</v>
      </c>
      <c r="M13" s="802">
        <f t="shared" si="4"/>
        <v>0</v>
      </c>
    </row>
    <row r="14" spans="1:18">
      <c r="A14" s="892"/>
      <c r="B14" s="892"/>
      <c r="C14" s="892"/>
      <c r="D14" s="893">
        <f t="shared" si="0"/>
        <v>0</v>
      </c>
      <c r="E14" s="893">
        <f t="shared" si="1"/>
        <v>0</v>
      </c>
      <c r="F14" s="894">
        <v>7</v>
      </c>
      <c r="G14" s="893">
        <f t="shared" si="2"/>
        <v>0</v>
      </c>
      <c r="H14" s="895">
        <f>G14*'Emission Factors'!$B$266</f>
        <v>0</v>
      </c>
      <c r="I14" s="753">
        <f>H14*'Emission Factors'!$C$266*0.001</f>
        <v>0</v>
      </c>
      <c r="J14" s="753">
        <f>H14*'Emission Factors'!$D$266*0.001</f>
        <v>0</v>
      </c>
      <c r="K14" s="896">
        <f>H14*'Emission Factors'!$E$266*0.001</f>
        <v>0</v>
      </c>
      <c r="L14" s="754">
        <f t="shared" si="3"/>
        <v>0</v>
      </c>
      <c r="M14" s="802">
        <f t="shared" si="4"/>
        <v>0</v>
      </c>
    </row>
    <row r="15" spans="1:18">
      <c r="A15" s="892"/>
      <c r="B15" s="892"/>
      <c r="C15" s="892"/>
      <c r="D15" s="893">
        <f t="shared" si="0"/>
        <v>0</v>
      </c>
      <c r="E15" s="893">
        <f t="shared" si="1"/>
        <v>0</v>
      </c>
      <c r="F15" s="894">
        <v>7</v>
      </c>
      <c r="G15" s="893">
        <f t="shared" si="2"/>
        <v>0</v>
      </c>
      <c r="H15" s="895">
        <f>G15*'Emission Factors'!$B$266</f>
        <v>0</v>
      </c>
      <c r="I15" s="753">
        <f>H15*'Emission Factors'!$C$266*0.001</f>
        <v>0</v>
      </c>
      <c r="J15" s="753">
        <f>H15*'Emission Factors'!$D$266*0.001</f>
        <v>0</v>
      </c>
      <c r="K15" s="896">
        <f>H15*'Emission Factors'!$E$266*0.001</f>
        <v>0</v>
      </c>
      <c r="L15" s="754">
        <f t="shared" si="3"/>
        <v>0</v>
      </c>
      <c r="M15" s="802">
        <f t="shared" si="4"/>
        <v>0</v>
      </c>
    </row>
    <row r="16" spans="1:18">
      <c r="A16" s="892"/>
      <c r="B16" s="892"/>
      <c r="C16" s="892"/>
      <c r="D16" s="893">
        <f t="shared" si="0"/>
        <v>0</v>
      </c>
      <c r="E16" s="893">
        <f t="shared" si="1"/>
        <v>0</v>
      </c>
      <c r="F16" s="894">
        <v>7</v>
      </c>
      <c r="G16" s="893">
        <f t="shared" si="2"/>
        <v>0</v>
      </c>
      <c r="H16" s="895">
        <f>G16*'Emission Factors'!$B$266</f>
        <v>0</v>
      </c>
      <c r="I16" s="753">
        <f>H16*'Emission Factors'!$C$266*0.001</f>
        <v>0</v>
      </c>
      <c r="J16" s="753">
        <f>H16*'Emission Factors'!$D$266*0.001</f>
        <v>0</v>
      </c>
      <c r="K16" s="896">
        <f>H16*'Emission Factors'!$E$266*0.001</f>
        <v>0</v>
      </c>
      <c r="L16" s="754">
        <f t="shared" si="3"/>
        <v>0</v>
      </c>
      <c r="M16" s="802">
        <f t="shared" si="4"/>
        <v>0</v>
      </c>
    </row>
    <row r="17" spans="1:18">
      <c r="A17" s="892"/>
      <c r="B17" s="892"/>
      <c r="C17" s="892"/>
      <c r="D17" s="893">
        <f t="shared" si="0"/>
        <v>0</v>
      </c>
      <c r="E17" s="893">
        <f t="shared" si="1"/>
        <v>0</v>
      </c>
      <c r="F17" s="894">
        <v>7</v>
      </c>
      <c r="G17" s="893">
        <f t="shared" si="2"/>
        <v>0</v>
      </c>
      <c r="H17" s="895">
        <f>G17*'Emission Factors'!$B$266</f>
        <v>0</v>
      </c>
      <c r="I17" s="753">
        <f>H17*'Emission Factors'!$C$266*0.001</f>
        <v>0</v>
      </c>
      <c r="J17" s="753">
        <f>H17*'Emission Factors'!$D$266*0.001</f>
        <v>0</v>
      </c>
      <c r="K17" s="896">
        <f>H17*'Emission Factors'!$E$266*0.001</f>
        <v>0</v>
      </c>
      <c r="L17" s="754">
        <f t="shared" si="3"/>
        <v>0</v>
      </c>
      <c r="M17" s="802">
        <f t="shared" si="4"/>
        <v>0</v>
      </c>
    </row>
    <row r="18" spans="1:18">
      <c r="A18" s="892"/>
      <c r="B18" s="892"/>
      <c r="C18" s="892"/>
      <c r="D18" s="893">
        <f t="shared" si="0"/>
        <v>0</v>
      </c>
      <c r="E18" s="893">
        <f t="shared" si="1"/>
        <v>0</v>
      </c>
      <c r="F18" s="894">
        <v>7</v>
      </c>
      <c r="G18" s="893">
        <f t="shared" si="2"/>
        <v>0</v>
      </c>
      <c r="H18" s="895">
        <f>G18*'Emission Factors'!$B$266</f>
        <v>0</v>
      </c>
      <c r="I18" s="753">
        <f>H18*'Emission Factors'!$C$266*0.001</f>
        <v>0</v>
      </c>
      <c r="J18" s="753">
        <f>H18*'Emission Factors'!$D$266*0.001</f>
        <v>0</v>
      </c>
      <c r="K18" s="896">
        <f>H18*'Emission Factors'!$E$266*0.001</f>
        <v>0</v>
      </c>
      <c r="L18" s="754">
        <f t="shared" si="3"/>
        <v>0</v>
      </c>
      <c r="M18" s="802">
        <f t="shared" si="4"/>
        <v>0</v>
      </c>
    </row>
    <row r="19" spans="1:18">
      <c r="A19" s="892"/>
      <c r="B19" s="892"/>
      <c r="C19" s="892"/>
      <c r="D19" s="893">
        <f t="shared" si="0"/>
        <v>0</v>
      </c>
      <c r="E19" s="893">
        <f t="shared" si="1"/>
        <v>0</v>
      </c>
      <c r="F19" s="894">
        <v>7</v>
      </c>
      <c r="G19" s="893">
        <f t="shared" si="2"/>
        <v>0</v>
      </c>
      <c r="H19" s="895">
        <f>G19*'Emission Factors'!$B$266</f>
        <v>0</v>
      </c>
      <c r="I19" s="753">
        <f>H19*'Emission Factors'!$C$266*0.001</f>
        <v>0</v>
      </c>
      <c r="J19" s="753">
        <f>H19*'Emission Factors'!$D$266*0.001</f>
        <v>0</v>
      </c>
      <c r="K19" s="896">
        <f>H19*'Emission Factors'!$E$266*0.001</f>
        <v>0</v>
      </c>
      <c r="L19" s="754">
        <f t="shared" si="3"/>
        <v>0</v>
      </c>
      <c r="M19" s="802">
        <f t="shared" si="4"/>
        <v>0</v>
      </c>
    </row>
    <row r="20" spans="1:18">
      <c r="A20" s="892"/>
      <c r="B20" s="892"/>
      <c r="C20" s="892"/>
      <c r="D20" s="893">
        <f t="shared" si="0"/>
        <v>0</v>
      </c>
      <c r="E20" s="893">
        <f t="shared" si="1"/>
        <v>0</v>
      </c>
      <c r="F20" s="894">
        <v>7</v>
      </c>
      <c r="G20" s="893">
        <f t="shared" si="2"/>
        <v>0</v>
      </c>
      <c r="H20" s="895">
        <f>G20*'Emission Factors'!$B$266</f>
        <v>0</v>
      </c>
      <c r="I20" s="753">
        <f>H20*'Emission Factors'!$C$266*0.001</f>
        <v>0</v>
      </c>
      <c r="J20" s="753">
        <f>H20*'Emission Factors'!$D$266*0.001</f>
        <v>0</v>
      </c>
      <c r="K20" s="896">
        <f>H20*'Emission Factors'!$E$266*0.001</f>
        <v>0</v>
      </c>
      <c r="L20" s="754">
        <f t="shared" si="3"/>
        <v>0</v>
      </c>
      <c r="M20" s="802">
        <f t="shared" si="4"/>
        <v>0</v>
      </c>
    </row>
    <row r="21" spans="1:18">
      <c r="A21" s="892"/>
      <c r="B21" s="892"/>
      <c r="C21" s="892"/>
      <c r="D21" s="893">
        <f t="shared" si="0"/>
        <v>0</v>
      </c>
      <c r="E21" s="893">
        <f t="shared" si="1"/>
        <v>0</v>
      </c>
      <c r="F21" s="894">
        <v>7</v>
      </c>
      <c r="G21" s="893">
        <f t="shared" si="2"/>
        <v>0</v>
      </c>
      <c r="H21" s="895">
        <f>G21*'Emission Factors'!$B$266</f>
        <v>0</v>
      </c>
      <c r="I21" s="753">
        <f>H21*'Emission Factors'!$C$266*0.001</f>
        <v>0</v>
      </c>
      <c r="J21" s="753">
        <f>H21*'Emission Factors'!$D$266*0.001</f>
        <v>0</v>
      </c>
      <c r="K21" s="896">
        <f>H21*'Emission Factors'!$E$266*0.001</f>
        <v>0</v>
      </c>
      <c r="L21" s="754">
        <f t="shared" si="3"/>
        <v>0</v>
      </c>
      <c r="M21" s="802">
        <f t="shared" si="4"/>
        <v>0</v>
      </c>
    </row>
    <row r="22" spans="1:18" ht="19.5" thickBot="1">
      <c r="A22" s="892"/>
      <c r="B22" s="892"/>
      <c r="C22" s="892"/>
      <c r="D22" s="893">
        <f t="shared" si="0"/>
        <v>0</v>
      </c>
      <c r="E22" s="893">
        <f t="shared" si="1"/>
        <v>0</v>
      </c>
      <c r="F22" s="894">
        <v>7</v>
      </c>
      <c r="G22" s="893">
        <f t="shared" si="2"/>
        <v>0</v>
      </c>
      <c r="H22" s="895">
        <f>G22*'Emission Factors'!$B$266</f>
        <v>0</v>
      </c>
      <c r="I22" s="753">
        <f>H22*'Emission Factors'!$C$266*0.001</f>
        <v>0</v>
      </c>
      <c r="J22" s="753">
        <f>H22*'Emission Factors'!$D$266*0.001</f>
        <v>0</v>
      </c>
      <c r="K22" s="897">
        <f>H22*'Emission Factors'!$E$266*0.001</f>
        <v>0</v>
      </c>
      <c r="L22" s="756">
        <f t="shared" si="3"/>
        <v>0</v>
      </c>
      <c r="M22" s="898">
        <f t="shared" si="4"/>
        <v>0</v>
      </c>
    </row>
    <row r="23" spans="1:18" ht="19.5" thickBot="1">
      <c r="A23" s="899" t="s">
        <v>694</v>
      </c>
      <c r="K23" s="760" t="s">
        <v>424</v>
      </c>
      <c r="L23" s="761">
        <f>SUM(L11:L22)</f>
        <v>0</v>
      </c>
      <c r="M23" s="762">
        <f>SUM(M11:M22)</f>
        <v>0</v>
      </c>
    </row>
    <row r="25" spans="1:18" s="740" customFormat="1" ht="36.75" thickBot="1">
      <c r="A25" s="1993" t="s">
        <v>695</v>
      </c>
      <c r="B25" s="1994"/>
      <c r="C25" s="1994"/>
      <c r="D25" s="1994"/>
      <c r="E25" s="1994"/>
      <c r="F25" s="1994"/>
      <c r="G25" s="1994"/>
      <c r="H25" s="1994"/>
      <c r="I25" s="1994"/>
      <c r="J25" s="1994"/>
      <c r="K25" s="1994"/>
      <c r="L25" s="1994"/>
      <c r="M25" s="1994"/>
      <c r="N25" s="1994"/>
      <c r="O25" s="1994"/>
      <c r="P25" s="1994"/>
      <c r="Q25" s="1994"/>
      <c r="R25" s="1994"/>
    </row>
    <row r="26" spans="1:18" s="743" customFormat="1" ht="37.5">
      <c r="E26" s="2007" t="s">
        <v>427</v>
      </c>
      <c r="F26" s="2008"/>
      <c r="G26" s="887" t="s">
        <v>680</v>
      </c>
      <c r="H26" s="888" t="s">
        <v>62</v>
      </c>
      <c r="I26" s="889"/>
      <c r="L26" s="889"/>
    </row>
    <row r="27" spans="1:18" s="765" customFormat="1" ht="37.5">
      <c r="A27" s="890" t="s">
        <v>696</v>
      </c>
      <c r="B27" s="890" t="s">
        <v>697</v>
      </c>
      <c r="C27" s="891" t="s">
        <v>448</v>
      </c>
      <c r="D27" s="692" t="s">
        <v>547</v>
      </c>
      <c r="E27" s="692" t="s">
        <v>690</v>
      </c>
      <c r="F27" s="692" t="s">
        <v>691</v>
      </c>
      <c r="G27" s="845" t="s">
        <v>692</v>
      </c>
      <c r="H27" s="847" t="s">
        <v>693</v>
      </c>
    </row>
    <row r="28" spans="1:18" s="765" customFormat="1" ht="15.75">
      <c r="A28" s="892"/>
      <c r="B28" s="900">
        <f>A28*0.001</f>
        <v>0</v>
      </c>
      <c r="C28" s="895">
        <f>B28*'Emission Factors'!$B$266</f>
        <v>0</v>
      </c>
      <c r="D28" s="753">
        <f>C28*'Emission Factors'!$C$266*0.001</f>
        <v>0</v>
      </c>
      <c r="E28" s="753">
        <f>C28*'Emission Factors'!$D$266*0.001</f>
        <v>0</v>
      </c>
      <c r="F28" s="753">
        <f>C28*'Emission Factors'!$E$266*0.001</f>
        <v>0</v>
      </c>
      <c r="G28" s="754">
        <f>D28</f>
        <v>0</v>
      </c>
      <c r="H28" s="802">
        <f>SUM(E28:F28)</f>
        <v>0</v>
      </c>
    </row>
    <row r="29" spans="1:18" s="765" customFormat="1" ht="15.75">
      <c r="A29" s="892"/>
      <c r="B29" s="900">
        <f t="shared" ref="B29:B39" si="5">A29*0.001</f>
        <v>0</v>
      </c>
      <c r="C29" s="895">
        <f>B29*'Emission Factors'!$B$266</f>
        <v>0</v>
      </c>
      <c r="D29" s="753">
        <f>C29*'Emission Factors'!$C$266*0.001</f>
        <v>0</v>
      </c>
      <c r="E29" s="753">
        <f>C29*'Emission Factors'!$D$266*0.001</f>
        <v>0</v>
      </c>
      <c r="F29" s="753">
        <f>C29*'Emission Factors'!$E$266*0.001</f>
        <v>0</v>
      </c>
      <c r="G29" s="754">
        <f t="shared" ref="G29:G39" si="6">D29</f>
        <v>0</v>
      </c>
      <c r="H29" s="802">
        <f t="shared" ref="H29:H39" si="7">SUM(E29:F29)</f>
        <v>0</v>
      </c>
    </row>
    <row r="30" spans="1:18" s="765" customFormat="1" ht="15.75">
      <c r="A30" s="892"/>
      <c r="B30" s="900">
        <f t="shared" si="5"/>
        <v>0</v>
      </c>
      <c r="C30" s="895">
        <f>B30*'Emission Factors'!$B$266</f>
        <v>0</v>
      </c>
      <c r="D30" s="753">
        <f>C30*'Emission Factors'!$C$266*0.001</f>
        <v>0</v>
      </c>
      <c r="E30" s="753">
        <f>C30*'Emission Factors'!$D$266*0.001</f>
        <v>0</v>
      </c>
      <c r="F30" s="753">
        <f>C30*'Emission Factors'!$E$266*0.001</f>
        <v>0</v>
      </c>
      <c r="G30" s="754">
        <f t="shared" si="6"/>
        <v>0</v>
      </c>
      <c r="H30" s="802">
        <f t="shared" si="7"/>
        <v>0</v>
      </c>
    </row>
    <row r="31" spans="1:18" s="765" customFormat="1" ht="15.75">
      <c r="A31" s="892"/>
      <c r="B31" s="900">
        <f t="shared" si="5"/>
        <v>0</v>
      </c>
      <c r="C31" s="895">
        <f>B31*'Emission Factors'!$B$266</f>
        <v>0</v>
      </c>
      <c r="D31" s="753">
        <f>C31*'Emission Factors'!$C$266*0.001</f>
        <v>0</v>
      </c>
      <c r="E31" s="753">
        <f>C31*'Emission Factors'!$D$266*0.001</f>
        <v>0</v>
      </c>
      <c r="F31" s="753">
        <f>C31*'Emission Factors'!$E$266*0.001</f>
        <v>0</v>
      </c>
      <c r="G31" s="754">
        <f t="shared" si="6"/>
        <v>0</v>
      </c>
      <c r="H31" s="802">
        <f t="shared" si="7"/>
        <v>0</v>
      </c>
    </row>
    <row r="32" spans="1:18" s="765" customFormat="1" ht="15.75">
      <c r="A32" s="892"/>
      <c r="B32" s="900">
        <f t="shared" si="5"/>
        <v>0</v>
      </c>
      <c r="C32" s="895">
        <f>B32*'Emission Factors'!$B$266</f>
        <v>0</v>
      </c>
      <c r="D32" s="753">
        <f>C32*'Emission Factors'!$C$266*0.001</f>
        <v>0</v>
      </c>
      <c r="E32" s="753">
        <f>C32*'Emission Factors'!$D$266*0.001</f>
        <v>0</v>
      </c>
      <c r="F32" s="753">
        <f>C32*'Emission Factors'!$E$266*0.001</f>
        <v>0</v>
      </c>
      <c r="G32" s="754">
        <f t="shared" si="6"/>
        <v>0</v>
      </c>
      <c r="H32" s="802">
        <f t="shared" si="7"/>
        <v>0</v>
      </c>
    </row>
    <row r="33" spans="1:8" s="765" customFormat="1" ht="15.75">
      <c r="A33" s="892"/>
      <c r="B33" s="900">
        <f t="shared" si="5"/>
        <v>0</v>
      </c>
      <c r="C33" s="895">
        <f>B33*'Emission Factors'!$B$266</f>
        <v>0</v>
      </c>
      <c r="D33" s="753">
        <f>C33*'Emission Factors'!$C$266*0.001</f>
        <v>0</v>
      </c>
      <c r="E33" s="753">
        <f>C33*'Emission Factors'!$D$266*0.001</f>
        <v>0</v>
      </c>
      <c r="F33" s="753">
        <f>C33*'Emission Factors'!$E$266*0.001</f>
        <v>0</v>
      </c>
      <c r="G33" s="754">
        <f t="shared" si="6"/>
        <v>0</v>
      </c>
      <c r="H33" s="802">
        <f t="shared" si="7"/>
        <v>0</v>
      </c>
    </row>
    <row r="34" spans="1:8" s="765" customFormat="1" ht="15.75">
      <c r="A34" s="892"/>
      <c r="B34" s="900">
        <f t="shared" si="5"/>
        <v>0</v>
      </c>
      <c r="C34" s="895">
        <f>B34*'Emission Factors'!$B$266</f>
        <v>0</v>
      </c>
      <c r="D34" s="753">
        <f>C34*'Emission Factors'!$C$266*0.001</f>
        <v>0</v>
      </c>
      <c r="E34" s="753">
        <f>C34*'Emission Factors'!$D$266*0.001</f>
        <v>0</v>
      </c>
      <c r="F34" s="753">
        <f>C34*'Emission Factors'!$E$266*0.001</f>
        <v>0</v>
      </c>
      <c r="G34" s="754">
        <f t="shared" si="6"/>
        <v>0</v>
      </c>
      <c r="H34" s="802">
        <f t="shared" si="7"/>
        <v>0</v>
      </c>
    </row>
    <row r="35" spans="1:8" s="765" customFormat="1" ht="15.75">
      <c r="A35" s="892"/>
      <c r="B35" s="900">
        <f t="shared" si="5"/>
        <v>0</v>
      </c>
      <c r="C35" s="895">
        <f>B35*'Emission Factors'!$B$266</f>
        <v>0</v>
      </c>
      <c r="D35" s="753">
        <f>C35*'Emission Factors'!$C$266*0.001</f>
        <v>0</v>
      </c>
      <c r="E35" s="753">
        <f>C35*'Emission Factors'!$D$266*0.001</f>
        <v>0</v>
      </c>
      <c r="F35" s="753">
        <f>C35*'Emission Factors'!$E$266*0.001</f>
        <v>0</v>
      </c>
      <c r="G35" s="754">
        <f t="shared" si="6"/>
        <v>0</v>
      </c>
      <c r="H35" s="802">
        <f t="shared" si="7"/>
        <v>0</v>
      </c>
    </row>
    <row r="36" spans="1:8" s="765" customFormat="1" ht="15.75">
      <c r="A36" s="892"/>
      <c r="B36" s="900">
        <f t="shared" si="5"/>
        <v>0</v>
      </c>
      <c r="C36" s="895">
        <f>B36*'Emission Factors'!$B$266</f>
        <v>0</v>
      </c>
      <c r="D36" s="753">
        <f>C36*'Emission Factors'!$C$266*0.001</f>
        <v>0</v>
      </c>
      <c r="E36" s="753">
        <f>C36*'Emission Factors'!$D$266*0.001</f>
        <v>0</v>
      </c>
      <c r="F36" s="753">
        <f>C36*'Emission Factors'!$E$266*0.001</f>
        <v>0</v>
      </c>
      <c r="G36" s="754">
        <f t="shared" si="6"/>
        <v>0</v>
      </c>
      <c r="H36" s="802">
        <f t="shared" si="7"/>
        <v>0</v>
      </c>
    </row>
    <row r="37" spans="1:8" s="765" customFormat="1" ht="15.75">
      <c r="A37" s="892"/>
      <c r="B37" s="900">
        <f t="shared" si="5"/>
        <v>0</v>
      </c>
      <c r="C37" s="895">
        <f>B37*'Emission Factors'!$B$266</f>
        <v>0</v>
      </c>
      <c r="D37" s="753">
        <f>C37*'Emission Factors'!$C$266*0.001</f>
        <v>0</v>
      </c>
      <c r="E37" s="753">
        <f>C37*'Emission Factors'!$D$266*0.001</f>
        <v>0</v>
      </c>
      <c r="F37" s="753">
        <f>C37*'Emission Factors'!$E$266*0.001</f>
        <v>0</v>
      </c>
      <c r="G37" s="754">
        <f t="shared" si="6"/>
        <v>0</v>
      </c>
      <c r="H37" s="802">
        <f t="shared" si="7"/>
        <v>0</v>
      </c>
    </row>
    <row r="38" spans="1:8" s="765" customFormat="1" ht="15.75">
      <c r="A38" s="892"/>
      <c r="B38" s="900">
        <f t="shared" si="5"/>
        <v>0</v>
      </c>
      <c r="C38" s="895">
        <f>B38*'Emission Factors'!$B$266</f>
        <v>0</v>
      </c>
      <c r="D38" s="753">
        <f>C38*'Emission Factors'!$C$266*0.001</f>
        <v>0</v>
      </c>
      <c r="E38" s="753">
        <f>C38*'Emission Factors'!$D$266*0.001</f>
        <v>0</v>
      </c>
      <c r="F38" s="753">
        <f>C38*'Emission Factors'!$E$266*0.001</f>
        <v>0</v>
      </c>
      <c r="G38" s="754">
        <f t="shared" si="6"/>
        <v>0</v>
      </c>
      <c r="H38" s="802">
        <f t="shared" si="7"/>
        <v>0</v>
      </c>
    </row>
    <row r="39" spans="1:8" s="765" customFormat="1" ht="16.5" thickBot="1">
      <c r="A39" s="892"/>
      <c r="B39" s="900">
        <f t="shared" si="5"/>
        <v>0</v>
      </c>
      <c r="C39" s="895">
        <f>B39*'Emission Factors'!$B$266</f>
        <v>0</v>
      </c>
      <c r="D39" s="753">
        <f>C39*'Emission Factors'!$C$266*0.001</f>
        <v>0</v>
      </c>
      <c r="E39" s="753">
        <f>C39*'Emission Factors'!$D$266*0.001</f>
        <v>0</v>
      </c>
      <c r="F39" s="901">
        <f>C39*'Emission Factors'!$E$266*0.001</f>
        <v>0</v>
      </c>
      <c r="G39" s="756">
        <f t="shared" si="6"/>
        <v>0</v>
      </c>
      <c r="H39" s="898">
        <f t="shared" si="7"/>
        <v>0</v>
      </c>
    </row>
    <row r="40" spans="1:8" ht="19.5" thickBot="1">
      <c r="F40" s="760" t="s">
        <v>424</v>
      </c>
      <c r="G40" s="761">
        <f>SUM(G28:G39)</f>
        <v>0</v>
      </c>
      <c r="H40" s="762">
        <f>SUM(H28:H39)</f>
        <v>0</v>
      </c>
    </row>
    <row r="41" spans="1:8">
      <c r="A41" s="902"/>
    </row>
  </sheetData>
  <sheetProtection selectLockedCells="1"/>
  <mergeCells count="6">
    <mergeCell ref="E26:F26"/>
    <mergeCell ref="E9:F9"/>
    <mergeCell ref="A7:R7"/>
    <mergeCell ref="A25:R25"/>
    <mergeCell ref="J1:O1"/>
    <mergeCell ref="B1:E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817A-34CF-4284-AD74-FD80D64AB94B}">
  <sheetPr>
    <tabColor rgb="FFFF9900"/>
  </sheetPr>
  <dimension ref="A1:M34"/>
  <sheetViews>
    <sheetView zoomScaleNormal="100" workbookViewId="0">
      <selection activeCell="E11" sqref="E11"/>
    </sheetView>
  </sheetViews>
  <sheetFormatPr baseColWidth="10" defaultColWidth="8.85546875" defaultRowHeight="15"/>
  <cols>
    <col min="1" max="1" width="23.42578125" style="765" customWidth="1"/>
    <col min="2" max="2" width="37" style="765" customWidth="1"/>
    <col min="3" max="3" width="15.28515625" style="765" customWidth="1"/>
    <col min="4" max="4" width="16.85546875" style="765" bestFit="1" customWidth="1"/>
    <col min="5" max="6" width="16.42578125" style="765" customWidth="1"/>
    <col min="7" max="7" width="8.85546875" style="765"/>
    <col min="8" max="8" width="14.85546875" style="765" customWidth="1"/>
    <col min="9" max="9" width="8.85546875" style="765"/>
    <col min="10" max="10" width="10.7109375" style="765" customWidth="1"/>
    <col min="11" max="11" width="8.85546875" style="765"/>
    <col min="12" max="12" width="11.5703125" style="765" customWidth="1"/>
    <col min="13" max="16384" width="8.85546875" style="765"/>
  </cols>
  <sheetData>
    <row r="1" spans="1:13" ht="38.25" thickBot="1">
      <c r="A1" s="825" t="s">
        <v>698</v>
      </c>
      <c r="B1" s="2045" t="s">
        <v>699</v>
      </c>
      <c r="C1" s="2022"/>
      <c r="D1" s="2022"/>
      <c r="E1" s="2023"/>
    </row>
    <row r="2" spans="1:13">
      <c r="A2" s="903"/>
      <c r="C2" s="904"/>
    </row>
    <row r="3" spans="1:13" ht="37.5">
      <c r="A3" s="885"/>
      <c r="B3" s="692" t="s">
        <v>553</v>
      </c>
      <c r="C3" s="862"/>
      <c r="D3" s="862"/>
      <c r="E3" s="862"/>
      <c r="F3" s="862"/>
      <c r="G3" s="744"/>
      <c r="H3" s="2001" t="s">
        <v>414</v>
      </c>
      <c r="I3" s="2002"/>
      <c r="J3" s="2002"/>
      <c r="K3" s="2002"/>
      <c r="L3" s="2002"/>
      <c r="M3" s="2003"/>
    </row>
    <row r="4" spans="1:13" ht="37.5">
      <c r="A4" s="808" t="s">
        <v>698</v>
      </c>
      <c r="B4" s="700">
        <f>SUM(D10:D11)</f>
        <v>0</v>
      </c>
      <c r="C4" s="905"/>
      <c r="E4" s="905"/>
      <c r="F4" s="905"/>
      <c r="H4" s="906" t="s">
        <v>415</v>
      </c>
      <c r="I4" s="907"/>
      <c r="J4" s="908" t="s">
        <v>416</v>
      </c>
      <c r="K4" s="909"/>
      <c r="L4" s="908" t="s">
        <v>417</v>
      </c>
      <c r="M4" s="910"/>
    </row>
    <row r="5" spans="1:13">
      <c r="C5" s="904"/>
    </row>
    <row r="8" spans="1:13" s="743" customFormat="1" ht="24" thickBot="1">
      <c r="A8" s="675"/>
      <c r="B8" s="2007" t="s">
        <v>427</v>
      </c>
      <c r="C8" s="2008"/>
      <c r="D8" s="675"/>
      <c r="E8" s="675"/>
      <c r="F8" s="911"/>
      <c r="G8" s="911"/>
      <c r="H8" s="911"/>
    </row>
    <row r="9" spans="1:13" ht="47.25">
      <c r="A9" s="912" t="s">
        <v>700</v>
      </c>
      <c r="B9" s="912" t="s">
        <v>701</v>
      </c>
      <c r="C9" s="912" t="s">
        <v>520</v>
      </c>
      <c r="D9" s="913" t="s">
        <v>702</v>
      </c>
    </row>
    <row r="10" spans="1:13" ht="30" customHeight="1">
      <c r="A10" s="697" t="s">
        <v>703</v>
      </c>
      <c r="B10" s="914" t="s">
        <v>704</v>
      </c>
      <c r="C10" s="915"/>
      <c r="D10" s="916">
        <f>C10*'Emission Factors'!C276</f>
        <v>0</v>
      </c>
      <c r="E10" s="765" t="s">
        <v>705</v>
      </c>
    </row>
    <row r="11" spans="1:13" ht="27" customHeight="1" thickBot="1">
      <c r="A11" s="697" t="s">
        <v>706</v>
      </c>
      <c r="B11" s="914" t="s">
        <v>704</v>
      </c>
      <c r="C11" s="915"/>
      <c r="D11" s="917">
        <f>C11*'Emission Factors'!C277</f>
        <v>0</v>
      </c>
    </row>
    <row r="12" spans="1:13">
      <c r="F12" s="918"/>
    </row>
    <row r="34" spans="1:1">
      <c r="A34" s="919"/>
    </row>
  </sheetData>
  <sheetProtection selectLockedCells="1"/>
  <mergeCells count="3">
    <mergeCell ref="B8:C8"/>
    <mergeCell ref="H3:M3"/>
    <mergeCell ref="B1:E1"/>
  </mergeCells>
  <pageMargins left="0.7" right="0.7" top="0.75" bottom="0.75" header="0.3" footer="0.3"/>
  <pageSetup orientation="portrait" horizont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AF74"/>
  <sheetViews>
    <sheetView topLeftCell="A55" zoomScale="70" zoomScaleNormal="70" workbookViewId="0">
      <selection activeCell="E34" sqref="E34:E35"/>
    </sheetView>
  </sheetViews>
  <sheetFormatPr baseColWidth="10" defaultColWidth="8.85546875" defaultRowHeight="15.75"/>
  <cols>
    <col min="1" max="1" width="86.5703125" style="809" bestFit="1" customWidth="1"/>
    <col min="2" max="2" width="22.42578125" style="694" bestFit="1" customWidth="1"/>
    <col min="3" max="3" width="28" style="694" customWidth="1"/>
    <col min="4" max="4" width="24.42578125" style="694" bestFit="1" customWidth="1"/>
    <col min="5" max="5" width="21.28515625" style="694" bestFit="1" customWidth="1"/>
    <col min="6" max="6" width="15.85546875" style="694" bestFit="1" customWidth="1"/>
    <col min="7" max="7" width="16.42578125" style="694" customWidth="1"/>
    <col min="8" max="8" width="17.42578125" style="694" bestFit="1" customWidth="1"/>
    <col min="9" max="9" width="21.140625" style="694" customWidth="1"/>
    <col min="10" max="10" width="17.5703125" style="694" customWidth="1"/>
    <col min="11" max="11" width="19" style="694" customWidth="1"/>
    <col min="12" max="12" width="14.140625" style="694" customWidth="1"/>
    <col min="13" max="13" width="18.28515625" style="694" customWidth="1"/>
    <col min="14" max="14" width="14.7109375" style="694" bestFit="1" customWidth="1"/>
    <col min="15" max="15" width="14.28515625" style="694" customWidth="1"/>
    <col min="16" max="22" width="15.7109375" style="694" customWidth="1"/>
    <col min="23" max="23" width="23.42578125" style="920" customWidth="1"/>
    <col min="24" max="28" width="15.7109375" style="694" customWidth="1"/>
    <col min="29" max="32" width="15.7109375" style="711" customWidth="1"/>
    <col min="33" max="33" width="15.7109375" style="694" customWidth="1"/>
    <col min="34" max="34" width="10.7109375" style="694" customWidth="1"/>
    <col min="35" max="16384" width="8.85546875" style="694"/>
  </cols>
  <sheetData>
    <row r="1" spans="1:32" ht="63" customHeight="1" thickBot="1">
      <c r="A1" s="825" t="s">
        <v>707</v>
      </c>
      <c r="B1" s="2045" t="s">
        <v>708</v>
      </c>
      <c r="C1" s="2022"/>
      <c r="D1" s="2022"/>
      <c r="E1" s="2023"/>
      <c r="F1" s="732"/>
      <c r="G1" s="732"/>
      <c r="H1" s="2001" t="s">
        <v>414</v>
      </c>
      <c r="I1" s="2002"/>
      <c r="J1" s="2002"/>
      <c r="K1" s="2002"/>
      <c r="L1" s="2002"/>
      <c r="M1" s="2003"/>
      <c r="N1" s="732"/>
      <c r="O1" s="732"/>
      <c r="P1" s="732"/>
      <c r="Q1" s="732"/>
    </row>
    <row r="2" spans="1:32" ht="29.25" customHeight="1">
      <c r="A2" s="921"/>
      <c r="C2" s="922"/>
      <c r="D2" s="922"/>
      <c r="E2" s="922"/>
      <c r="F2" s="922"/>
      <c r="G2" s="922"/>
      <c r="H2" s="733" t="s">
        <v>415</v>
      </c>
      <c r="I2" s="734"/>
      <c r="J2" s="735" t="s">
        <v>416</v>
      </c>
      <c r="K2" s="736"/>
      <c r="L2" s="735" t="s">
        <v>417</v>
      </c>
      <c r="M2" s="737"/>
      <c r="N2" s="716"/>
      <c r="O2" s="716"/>
      <c r="P2" s="716"/>
      <c r="Q2" s="716"/>
    </row>
    <row r="3" spans="1:32" ht="36.950000000000003" customHeight="1">
      <c r="A3" s="738"/>
      <c r="B3" s="692" t="s">
        <v>553</v>
      </c>
      <c r="C3" s="2060" t="s">
        <v>709</v>
      </c>
      <c r="D3" s="2061"/>
      <c r="E3" s="2061"/>
      <c r="F3" s="2061"/>
      <c r="G3" s="2061"/>
      <c r="M3" s="711"/>
      <c r="N3" s="711"/>
      <c r="O3" s="711"/>
      <c r="P3" s="711"/>
      <c r="W3" s="694"/>
      <c r="AC3" s="694"/>
      <c r="AD3" s="694"/>
      <c r="AE3" s="694"/>
      <c r="AF3" s="694"/>
    </row>
    <row r="4" spans="1:32" ht="18.75">
      <c r="A4" s="692" t="s">
        <v>710</v>
      </c>
      <c r="B4" s="700">
        <f>SUM(C14:C22)</f>
        <v>0</v>
      </c>
      <c r="C4" s="2060"/>
      <c r="D4" s="2061"/>
      <c r="E4" s="2061"/>
      <c r="F4" s="2061"/>
      <c r="G4" s="2061"/>
      <c r="W4" s="694"/>
      <c r="AC4" s="694"/>
      <c r="AD4" s="694"/>
      <c r="AE4" s="694"/>
      <c r="AF4" s="694"/>
    </row>
    <row r="5" spans="1:32" ht="18.75">
      <c r="A5" s="692" t="s">
        <v>711</v>
      </c>
      <c r="B5" s="700">
        <f>SUM(D14:D22)</f>
        <v>0</v>
      </c>
      <c r="C5" s="732"/>
      <c r="F5" s="711"/>
      <c r="W5" s="694"/>
      <c r="AC5" s="694"/>
      <c r="AD5" s="694"/>
      <c r="AE5" s="694"/>
      <c r="AF5" s="694"/>
    </row>
    <row r="6" spans="1:32" ht="18.600000000000001" customHeight="1">
      <c r="A6" s="692" t="s">
        <v>712</v>
      </c>
      <c r="B6" s="700">
        <f>SUM(D28:D40)</f>
        <v>0</v>
      </c>
      <c r="C6" s="923"/>
      <c r="D6" s="924"/>
      <c r="E6" s="924"/>
      <c r="F6" s="924"/>
      <c r="G6" s="924"/>
      <c r="W6" s="694"/>
      <c r="AC6" s="694"/>
      <c r="AD6" s="694"/>
      <c r="AE6" s="694"/>
      <c r="AF6" s="694"/>
    </row>
    <row r="7" spans="1:32" ht="18.600000000000001" customHeight="1">
      <c r="A7" s="692" t="s">
        <v>713</v>
      </c>
      <c r="B7" s="700">
        <f>SUM(F28:F40)</f>
        <v>0</v>
      </c>
      <c r="C7" s="2062" t="s">
        <v>714</v>
      </c>
      <c r="D7" s="2063"/>
      <c r="E7" s="2063"/>
      <c r="F7" s="2063"/>
      <c r="G7" s="2063"/>
      <c r="W7" s="694"/>
      <c r="AC7" s="694"/>
      <c r="AD7" s="694"/>
      <c r="AE7" s="694"/>
      <c r="AF7" s="694"/>
    </row>
    <row r="8" spans="1:32" ht="15.6" customHeight="1">
      <c r="A8" s="748" t="s">
        <v>715</v>
      </c>
      <c r="B8" s="700">
        <f>B74</f>
        <v>0</v>
      </c>
      <c r="C8" s="2062"/>
      <c r="D8" s="2063"/>
      <c r="E8" s="2063"/>
      <c r="F8" s="2063"/>
      <c r="G8" s="2063"/>
      <c r="H8" s="711"/>
      <c r="I8" s="711"/>
      <c r="J8" s="711"/>
      <c r="W8" s="694"/>
      <c r="AC8" s="694"/>
      <c r="AD8" s="694"/>
      <c r="AE8" s="694"/>
      <c r="AF8" s="694"/>
    </row>
    <row r="9" spans="1:32">
      <c r="A9" s="695"/>
      <c r="B9" s="925"/>
      <c r="C9" s="925"/>
      <c r="D9" s="925"/>
      <c r="G9" s="920"/>
      <c r="M9" s="711"/>
      <c r="N9" s="711"/>
      <c r="O9" s="711"/>
      <c r="P9" s="711"/>
      <c r="W9" s="694"/>
      <c r="AC9" s="694"/>
      <c r="AD9" s="694"/>
      <c r="AE9" s="694"/>
      <c r="AF9" s="694"/>
    </row>
    <row r="10" spans="1:32" ht="62.1" customHeight="1">
      <c r="A10" s="2056" t="s">
        <v>716</v>
      </c>
      <c r="B10" s="2057"/>
      <c r="C10" s="2057"/>
      <c r="D10" s="2057"/>
      <c r="E10" s="2057"/>
      <c r="F10" s="2057"/>
      <c r="L10" s="920"/>
      <c r="R10" s="711"/>
      <c r="S10" s="711"/>
      <c r="T10" s="711"/>
      <c r="U10" s="711"/>
      <c r="W10" s="694"/>
      <c r="AC10" s="694"/>
      <c r="AD10" s="694"/>
      <c r="AE10" s="694"/>
      <c r="AF10" s="694"/>
    </row>
    <row r="11" spans="1:32" s="743" customFormat="1" ht="24" thickBot="1">
      <c r="B11" s="717" t="s">
        <v>427</v>
      </c>
      <c r="C11" s="718"/>
      <c r="M11" s="724"/>
      <c r="S11" s="926"/>
      <c r="T11" s="926"/>
      <c r="U11" s="926"/>
      <c r="V11" s="926"/>
    </row>
    <row r="12" spans="1:32" ht="42">
      <c r="A12" s="927"/>
      <c r="C12" s="928" t="s">
        <v>717</v>
      </c>
      <c r="D12" s="928" t="s">
        <v>718</v>
      </c>
      <c r="W12" s="694"/>
      <c r="AC12" s="694"/>
      <c r="AD12" s="694"/>
      <c r="AE12" s="694"/>
      <c r="AF12" s="694"/>
    </row>
    <row r="13" spans="1:32" ht="63">
      <c r="A13" s="929" t="s">
        <v>719</v>
      </c>
      <c r="B13" s="930" t="s">
        <v>720</v>
      </c>
      <c r="C13" s="931" t="s">
        <v>721</v>
      </c>
      <c r="D13" s="931" t="s">
        <v>721</v>
      </c>
      <c r="W13" s="694"/>
      <c r="AC13" s="694"/>
      <c r="AD13" s="694"/>
      <c r="AE13" s="694"/>
      <c r="AF13" s="694"/>
    </row>
    <row r="14" spans="1:32">
      <c r="A14" s="719" t="s">
        <v>722</v>
      </c>
      <c r="B14" s="932"/>
      <c r="C14" s="933">
        <f>B14*'Emission Factors'!$B$324*0.001</f>
        <v>0</v>
      </c>
      <c r="D14" s="933">
        <f>B14*'Emission Factors'!$D$324*0.001</f>
        <v>0</v>
      </c>
      <c r="W14" s="694"/>
      <c r="AC14" s="694"/>
      <c r="AD14" s="694"/>
      <c r="AE14" s="694"/>
      <c r="AF14" s="694"/>
    </row>
    <row r="15" spans="1:32">
      <c r="A15" s="719" t="s">
        <v>185</v>
      </c>
      <c r="B15" s="932"/>
      <c r="C15" s="933">
        <f>B15*'Emission Factors'!$B$325*0.001</f>
        <v>0</v>
      </c>
      <c r="D15" s="933">
        <f>B15*'Emission Factors'!$D$325*0.001</f>
        <v>0</v>
      </c>
      <c r="W15" s="694"/>
      <c r="AC15" s="694"/>
      <c r="AD15" s="694"/>
      <c r="AE15" s="694"/>
      <c r="AF15" s="694"/>
    </row>
    <row r="16" spans="1:32">
      <c r="A16" s="719" t="s">
        <v>723</v>
      </c>
      <c r="B16" s="932"/>
      <c r="C16" s="933">
        <f>B16*0.001*'Emission Factors'!$B$326</f>
        <v>0</v>
      </c>
      <c r="D16" s="933">
        <f>B16*'Emission Factors'!$D$326*0.001</f>
        <v>0</v>
      </c>
      <c r="W16" s="694"/>
      <c r="AC16" s="694"/>
      <c r="AD16" s="694"/>
      <c r="AE16" s="694"/>
      <c r="AF16" s="694"/>
    </row>
    <row r="17" spans="1:19" s="694" customFormat="1">
      <c r="A17" s="1369"/>
      <c r="B17" s="1370"/>
      <c r="C17" s="1371">
        <f>B17*'Emission Factors'!$B$327*0.001</f>
        <v>0</v>
      </c>
      <c r="D17" s="1371">
        <f>B17*'Emission Factors'!$D$327*0.001</f>
        <v>0</v>
      </c>
    </row>
    <row r="18" spans="1:19" s="694" customFormat="1">
      <c r="A18" s="1369"/>
      <c r="B18" s="1370"/>
      <c r="C18" s="1371">
        <f>B18*0.001*SUM('Emission Factors'!$B$328:$B$329)</f>
        <v>0</v>
      </c>
      <c r="D18" s="1371">
        <f>B18*SUM('Emission Factors'!$D$328:$D$329)*0.001</f>
        <v>0</v>
      </c>
    </row>
    <row r="19" spans="1:19" s="694" customFormat="1">
      <c r="A19" s="1369"/>
      <c r="B19" s="1370"/>
      <c r="C19" s="1371">
        <f>B19*0.001*'Emission Factors'!$B$330</f>
        <v>0</v>
      </c>
      <c r="D19" s="1371">
        <f>B19*'Emission Factors'!$D$330*0.001</f>
        <v>0</v>
      </c>
    </row>
    <row r="20" spans="1:19" s="694" customFormat="1">
      <c r="A20" s="1369"/>
      <c r="B20" s="1370"/>
      <c r="C20" s="1371">
        <f>B20*0.001*SUM('Emission Factors'!$B$332:$B$333)</f>
        <v>0</v>
      </c>
      <c r="D20" s="1371">
        <f>B20*SUM('Emission Factors'!$D$332:$D$333)*0.001</f>
        <v>0</v>
      </c>
    </row>
    <row r="21" spans="1:19" s="694" customFormat="1">
      <c r="A21" s="1369"/>
      <c r="B21" s="1370"/>
      <c r="C21" s="1371">
        <f>B21*0.001*'Emission Factors'!$B$331</f>
        <v>0</v>
      </c>
      <c r="D21" s="1371">
        <f>B21*'Emission Factors'!$D$331*0.001</f>
        <v>0</v>
      </c>
    </row>
    <row r="22" spans="1:19" s="694" customFormat="1" ht="16.5" thickBot="1">
      <c r="A22" s="1369"/>
      <c r="B22" s="1370"/>
      <c r="C22" s="1372">
        <f>B22*0.001*SUM('Emission Factors'!$B$332:$B$333)</f>
        <v>0</v>
      </c>
      <c r="D22" s="1372">
        <f>B22*SUM('Emission Factors'!$D$332:$D$333)*0.001</f>
        <v>0</v>
      </c>
    </row>
    <row r="23" spans="1:19" s="694" customFormat="1">
      <c r="B23" s="920"/>
    </row>
    <row r="24" spans="1:19" s="694" customFormat="1" ht="36">
      <c r="A24" s="2009" t="s">
        <v>724</v>
      </c>
      <c r="B24" s="2010"/>
      <c r="C24" s="2010"/>
      <c r="D24" s="2010"/>
      <c r="E24" s="2010"/>
      <c r="F24" s="2010"/>
    </row>
    <row r="25" spans="1:19" s="743" customFormat="1" ht="24" thickBot="1">
      <c r="A25" s="724"/>
      <c r="B25" s="2058" t="s">
        <v>427</v>
      </c>
      <c r="C25" s="2059"/>
    </row>
    <row r="26" spans="1:19" s="694" customFormat="1" ht="38.25" customHeight="1">
      <c r="A26" s="927"/>
      <c r="C26" s="2051" t="s">
        <v>725</v>
      </c>
      <c r="D26" s="2052"/>
      <c r="E26" s="2051" t="s">
        <v>718</v>
      </c>
      <c r="F26" s="2052"/>
      <c r="H26" s="694" t="s">
        <v>726</v>
      </c>
    </row>
    <row r="27" spans="1:19" s="694" customFormat="1" ht="84">
      <c r="A27" s="929" t="s">
        <v>727</v>
      </c>
      <c r="B27" s="930" t="s">
        <v>728</v>
      </c>
      <c r="C27" s="934" t="s">
        <v>729</v>
      </c>
      <c r="D27" s="935" t="s">
        <v>721</v>
      </c>
      <c r="E27" s="934" t="s">
        <v>730</v>
      </c>
      <c r="F27" s="935" t="s">
        <v>721</v>
      </c>
    </row>
    <row r="28" spans="1:19" s="694" customFormat="1">
      <c r="A28" s="719" t="s">
        <v>731</v>
      </c>
      <c r="B28" s="932"/>
      <c r="C28" s="936"/>
      <c r="D28" s="937">
        <f>B28*C28*0.001</f>
        <v>0</v>
      </c>
      <c r="E28" s="936"/>
      <c r="F28" s="937">
        <f>B28*E28*0.001</f>
        <v>0</v>
      </c>
      <c r="J28" s="920"/>
      <c r="P28" s="711"/>
      <c r="Q28" s="711"/>
      <c r="R28" s="711"/>
      <c r="S28" s="711"/>
    </row>
    <row r="29" spans="1:19" s="694" customFormat="1">
      <c r="A29" s="719" t="s">
        <v>732</v>
      </c>
      <c r="B29" s="932"/>
      <c r="C29" s="936"/>
      <c r="D29" s="937">
        <f>B29*C29*0.001</f>
        <v>0</v>
      </c>
      <c r="E29" s="936"/>
      <c r="F29" s="937">
        <f t="shared" ref="F29:F30" si="0">B29*E29*0.001</f>
        <v>0</v>
      </c>
      <c r="J29" s="920"/>
      <c r="P29" s="711"/>
      <c r="Q29" s="711"/>
      <c r="R29" s="711"/>
      <c r="S29" s="711"/>
    </row>
    <row r="30" spans="1:19" s="694" customFormat="1">
      <c r="A30" s="719" t="s">
        <v>733</v>
      </c>
      <c r="B30" s="932"/>
      <c r="C30" s="936"/>
      <c r="D30" s="937">
        <f>B30*C30*0.001</f>
        <v>0</v>
      </c>
      <c r="E30" s="936"/>
      <c r="F30" s="937">
        <f t="shared" si="0"/>
        <v>0</v>
      </c>
      <c r="J30" s="920"/>
      <c r="P30" s="711"/>
      <c r="Q30" s="711"/>
      <c r="R30" s="711"/>
      <c r="S30" s="711"/>
    </row>
    <row r="31" spans="1:19" s="694" customFormat="1">
      <c r="A31" s="719" t="s">
        <v>722</v>
      </c>
      <c r="B31" s="932"/>
      <c r="C31" s="938">
        <v>0.24399999999999999</v>
      </c>
      <c r="D31" s="937">
        <f>B31*C31*0.001</f>
        <v>0</v>
      </c>
      <c r="E31" s="938">
        <f>C31*0.05</f>
        <v>1.2200000000000001E-2</v>
      </c>
      <c r="F31" s="937">
        <f>B31*E31*0.001</f>
        <v>0</v>
      </c>
      <c r="J31" s="920"/>
      <c r="P31" s="711"/>
      <c r="Q31" s="711"/>
      <c r="R31" s="711"/>
      <c r="S31" s="711"/>
    </row>
    <row r="32" spans="1:19" s="694" customFormat="1">
      <c r="A32" s="719" t="s">
        <v>185</v>
      </c>
      <c r="B32" s="932"/>
      <c r="C32" s="938">
        <f>'Emission Factors'!B325</f>
        <v>0.27</v>
      </c>
      <c r="D32" s="937">
        <f t="shared" ref="D32:D40" si="1">B32*C32*0.001</f>
        <v>0</v>
      </c>
      <c r="E32" s="938">
        <f t="shared" ref="E32:E33" si="2">C32*0.05</f>
        <v>1.3500000000000002E-2</v>
      </c>
      <c r="F32" s="937">
        <f t="shared" ref="F32:F40" si="3">B32*E32*0.001</f>
        <v>0</v>
      </c>
      <c r="J32" s="920"/>
      <c r="P32" s="711"/>
      <c r="Q32" s="711"/>
      <c r="R32" s="711"/>
      <c r="S32" s="711"/>
    </row>
    <row r="33" spans="1:32">
      <c r="A33" s="719" t="s">
        <v>723</v>
      </c>
      <c r="B33" s="932"/>
      <c r="C33" s="938">
        <f>'Emission Factors'!B326</f>
        <v>0.151</v>
      </c>
      <c r="D33" s="937">
        <f t="shared" si="1"/>
        <v>0</v>
      </c>
      <c r="E33" s="938">
        <f t="shared" si="2"/>
        <v>7.5500000000000003E-3</v>
      </c>
      <c r="F33" s="937">
        <f t="shared" si="3"/>
        <v>0</v>
      </c>
      <c r="J33" s="920"/>
      <c r="P33" s="711"/>
      <c r="Q33" s="711"/>
      <c r="R33" s="711"/>
      <c r="S33" s="711"/>
      <c r="W33" s="694"/>
      <c r="AC33" s="694"/>
      <c r="AD33" s="694"/>
      <c r="AE33" s="694"/>
      <c r="AF33" s="694"/>
    </row>
    <row r="34" spans="1:32">
      <c r="A34" s="1369"/>
      <c r="B34" s="1370"/>
      <c r="C34" s="1373"/>
      <c r="D34" s="1374">
        <f t="shared" si="1"/>
        <v>0</v>
      </c>
      <c r="E34" s="1373"/>
      <c r="F34" s="1374">
        <f t="shared" si="3"/>
        <v>0</v>
      </c>
      <c r="J34" s="920"/>
      <c r="P34" s="711"/>
      <c r="Q34" s="711"/>
      <c r="R34" s="711"/>
      <c r="S34" s="711"/>
      <c r="W34" s="694"/>
      <c r="AC34" s="694"/>
      <c r="AD34" s="694"/>
      <c r="AE34" s="694"/>
      <c r="AF34" s="694"/>
    </row>
    <row r="35" spans="1:32">
      <c r="A35" s="1369"/>
      <c r="B35" s="1370"/>
      <c r="C35" s="1373"/>
      <c r="D35" s="1374">
        <f t="shared" si="1"/>
        <v>0</v>
      </c>
      <c r="E35" s="1373"/>
      <c r="F35" s="1374">
        <f t="shared" si="3"/>
        <v>0</v>
      </c>
      <c r="S35" s="920"/>
      <c r="W35" s="694"/>
      <c r="Y35" s="711"/>
      <c r="Z35" s="711"/>
      <c r="AA35" s="711"/>
      <c r="AB35" s="711"/>
      <c r="AC35" s="694"/>
      <c r="AD35" s="694"/>
      <c r="AE35" s="694"/>
      <c r="AF35" s="694"/>
    </row>
    <row r="36" spans="1:32">
      <c r="A36" s="1369"/>
      <c r="B36" s="1370"/>
      <c r="C36" s="1373">
        <f>'Emission Factors'!B330</f>
        <v>0</v>
      </c>
      <c r="D36" s="1374">
        <f t="shared" si="1"/>
        <v>0</v>
      </c>
      <c r="E36" s="1373">
        <f>'Emission Factors'!D330</f>
        <v>0</v>
      </c>
      <c r="F36" s="1374">
        <f t="shared" si="3"/>
        <v>0</v>
      </c>
    </row>
    <row r="37" spans="1:32">
      <c r="A37" s="1369"/>
      <c r="B37" s="1370"/>
      <c r="C37" s="1373">
        <f>SUM('Emission Factors'!B332:B333)</f>
        <v>0</v>
      </c>
      <c r="D37" s="1374">
        <f t="shared" si="1"/>
        <v>0</v>
      </c>
      <c r="E37" s="1373">
        <f>SUM('Emission Factors'!D332:D333)</f>
        <v>0</v>
      </c>
      <c r="F37" s="1374">
        <f t="shared" si="3"/>
        <v>0</v>
      </c>
    </row>
    <row r="38" spans="1:32">
      <c r="A38" s="1369"/>
      <c r="B38" s="1370"/>
      <c r="C38" s="1373">
        <f>'Emission Factors'!B331</f>
        <v>0</v>
      </c>
      <c r="D38" s="1374">
        <f t="shared" si="1"/>
        <v>0</v>
      </c>
      <c r="E38" s="1373">
        <f>'Emission Factors'!D331</f>
        <v>0</v>
      </c>
      <c r="F38" s="1374">
        <f t="shared" si="3"/>
        <v>0</v>
      </c>
    </row>
    <row r="39" spans="1:32">
      <c r="A39" s="1369"/>
      <c r="B39" s="1370"/>
      <c r="C39" s="1373">
        <f>SUM('Emission Factors'!B332:B333)</f>
        <v>0</v>
      </c>
      <c r="D39" s="1374">
        <f t="shared" si="1"/>
        <v>0</v>
      </c>
      <c r="E39" s="1373">
        <f>SUM('Emission Factors'!D332:D333)</f>
        <v>0</v>
      </c>
      <c r="F39" s="1374">
        <f t="shared" si="3"/>
        <v>0</v>
      </c>
    </row>
    <row r="40" spans="1:32" ht="16.5" thickBot="1">
      <c r="A40" s="1375" t="s">
        <v>734</v>
      </c>
      <c r="B40" s="1376"/>
      <c r="C40" s="1377">
        <f>'Emission Factors'!B339</f>
        <v>0</v>
      </c>
      <c r="D40" s="1378">
        <f t="shared" si="1"/>
        <v>0</v>
      </c>
      <c r="E40" s="1377">
        <f>'Emission Factors'!D339</f>
        <v>0</v>
      </c>
      <c r="F40" s="1378">
        <f t="shared" si="3"/>
        <v>0</v>
      </c>
    </row>
    <row r="41" spans="1:32">
      <c r="A41" s="720" t="s">
        <v>735</v>
      </c>
    </row>
    <row r="43" spans="1:32" ht="31.5">
      <c r="A43" s="2053" t="s">
        <v>715</v>
      </c>
      <c r="B43" s="2054"/>
      <c r="C43" s="2054"/>
      <c r="D43" s="2054"/>
      <c r="E43" s="2054"/>
      <c r="F43" s="2054"/>
      <c r="G43" s="2054"/>
      <c r="H43" s="2054"/>
      <c r="I43" s="2054"/>
      <c r="J43" s="2054"/>
      <c r="K43" s="2054"/>
      <c r="L43" s="2054"/>
      <c r="M43" s="2054"/>
      <c r="N43" s="2054"/>
      <c r="O43" s="2054"/>
      <c r="P43" s="2054"/>
      <c r="Q43" s="2054"/>
      <c r="R43" s="2054"/>
      <c r="S43" s="2054"/>
      <c r="T43" s="2054"/>
    </row>
    <row r="44" spans="1:32" ht="21">
      <c r="A44" s="721" t="s">
        <v>736</v>
      </c>
      <c r="B44" s="939"/>
      <c r="C44" s="939"/>
      <c r="D44" s="939"/>
      <c r="E44" s="939"/>
      <c r="F44" s="939"/>
      <c r="G44" s="939"/>
      <c r="H44" s="940"/>
      <c r="I44" s="939"/>
      <c r="J44" s="939"/>
      <c r="K44" s="939"/>
      <c r="L44" s="939"/>
      <c r="M44" s="939"/>
      <c r="N44" s="939"/>
      <c r="O44" s="939"/>
      <c r="P44" s="939"/>
      <c r="Q44" s="939"/>
      <c r="R44" s="939"/>
      <c r="S44" s="939"/>
      <c r="T44" s="939"/>
    </row>
    <row r="45" spans="1:32" ht="47.25">
      <c r="A45" s="941" t="s">
        <v>428</v>
      </c>
      <c r="B45" s="941" t="s">
        <v>737</v>
      </c>
      <c r="C45" s="939"/>
      <c r="D45" s="939"/>
      <c r="E45" s="939"/>
      <c r="I45" s="939"/>
      <c r="J45" s="939"/>
      <c r="K45" s="939"/>
      <c r="L45" s="939"/>
      <c r="M45" s="939"/>
      <c r="N45" s="939"/>
      <c r="O45" s="939"/>
      <c r="P45" s="939"/>
      <c r="Q45" s="939"/>
      <c r="R45" s="939"/>
      <c r="S45" s="939"/>
      <c r="T45" s="939"/>
    </row>
    <row r="46" spans="1:32">
      <c r="A46" s="942" t="s">
        <v>738</v>
      </c>
      <c r="B46" s="943">
        <f>B30</f>
        <v>0</v>
      </c>
      <c r="C46" s="939"/>
      <c r="D46" s="939"/>
      <c r="E46" s="939"/>
      <c r="I46" s="939"/>
      <c r="J46" s="939"/>
      <c r="K46" s="939"/>
      <c r="L46" s="939"/>
      <c r="M46" s="939"/>
      <c r="N46" s="939"/>
      <c r="O46" s="939"/>
      <c r="P46" s="939"/>
      <c r="Q46" s="939"/>
      <c r="R46" s="939"/>
      <c r="S46" s="939"/>
      <c r="T46" s="939"/>
    </row>
    <row r="47" spans="1:32">
      <c r="A47" s="942"/>
      <c r="B47" s="942"/>
      <c r="C47" s="939"/>
      <c r="D47" s="939"/>
      <c r="E47" s="939"/>
      <c r="F47" s="939"/>
      <c r="G47" s="939"/>
      <c r="H47" s="939"/>
      <c r="I47" s="939"/>
      <c r="J47" s="939"/>
      <c r="K47" s="939"/>
      <c r="L47" s="939"/>
      <c r="M47" s="939"/>
      <c r="N47" s="939"/>
      <c r="O47" s="939"/>
      <c r="P47" s="939"/>
      <c r="Q47" s="939"/>
      <c r="R47" s="939"/>
      <c r="S47" s="939"/>
      <c r="T47" s="939"/>
    </row>
    <row r="48" spans="1:32">
      <c r="A48" s="942"/>
      <c r="B48" s="942"/>
      <c r="C48" s="939"/>
      <c r="D48" s="939"/>
      <c r="E48" s="939"/>
      <c r="F48" s="939"/>
      <c r="G48" s="939"/>
      <c r="H48" s="939"/>
      <c r="I48" s="939"/>
      <c r="J48" s="939"/>
      <c r="K48" s="939"/>
      <c r="L48" s="939"/>
      <c r="M48" s="939"/>
      <c r="N48" s="939"/>
      <c r="O48" s="939"/>
      <c r="P48" s="939"/>
      <c r="Q48" s="939"/>
      <c r="R48" s="939"/>
      <c r="S48" s="939"/>
      <c r="T48" s="939"/>
    </row>
    <row r="49" spans="1:20">
      <c r="A49" s="942"/>
      <c r="B49" s="942"/>
      <c r="C49" s="939"/>
      <c r="D49" s="939"/>
      <c r="E49" s="939"/>
      <c r="F49" s="939"/>
      <c r="G49" s="939"/>
      <c r="H49" s="939"/>
      <c r="I49" s="939"/>
      <c r="J49" s="939"/>
      <c r="K49" s="939"/>
      <c r="L49" s="939"/>
      <c r="M49" s="939"/>
      <c r="N49" s="939"/>
      <c r="O49" s="939"/>
      <c r="P49" s="939"/>
      <c r="Q49" s="939"/>
      <c r="R49" s="939"/>
      <c r="S49" s="939"/>
      <c r="T49" s="939"/>
    </row>
    <row r="50" spans="1:20">
      <c r="A50" s="942"/>
      <c r="B50" s="942"/>
      <c r="C50" s="939"/>
      <c r="D50" s="939"/>
      <c r="E50" s="939"/>
      <c r="F50" s="939"/>
      <c r="G50" s="939"/>
      <c r="H50" s="939"/>
      <c r="I50" s="939"/>
      <c r="J50" s="939"/>
      <c r="K50" s="939"/>
      <c r="L50" s="939"/>
      <c r="M50" s="939"/>
      <c r="N50" s="939"/>
      <c r="O50" s="939"/>
      <c r="P50" s="939"/>
      <c r="Q50" s="939"/>
      <c r="R50" s="939"/>
      <c r="S50" s="939"/>
      <c r="T50" s="939"/>
    </row>
    <row r="51" spans="1:20">
      <c r="A51" s="942"/>
      <c r="B51" s="942"/>
      <c r="C51" s="939"/>
      <c r="D51" s="939"/>
      <c r="E51" s="939"/>
      <c r="F51" s="939"/>
      <c r="G51" s="939"/>
      <c r="H51" s="939"/>
      <c r="I51" s="939"/>
      <c r="J51" s="939"/>
      <c r="K51" s="939"/>
      <c r="L51" s="939"/>
      <c r="M51" s="939"/>
      <c r="N51" s="939"/>
      <c r="O51" s="939"/>
      <c r="P51" s="939"/>
      <c r="Q51" s="939"/>
      <c r="R51" s="939"/>
      <c r="S51" s="939"/>
      <c r="T51" s="939"/>
    </row>
    <row r="52" spans="1:20">
      <c r="A52" s="942"/>
      <c r="B52" s="942"/>
      <c r="C52" s="939"/>
      <c r="D52" s="939"/>
      <c r="E52" s="939"/>
      <c r="F52" s="939"/>
      <c r="G52" s="939"/>
      <c r="H52" s="939"/>
      <c r="I52" s="939"/>
      <c r="J52" s="939"/>
      <c r="K52" s="939"/>
      <c r="L52" s="939"/>
      <c r="M52" s="939"/>
      <c r="N52" s="939"/>
      <c r="O52" s="939"/>
      <c r="P52" s="939"/>
      <c r="Q52" s="939"/>
      <c r="R52" s="939"/>
      <c r="S52" s="939"/>
      <c r="T52" s="939"/>
    </row>
    <row r="53" spans="1:20">
      <c r="A53" s="942"/>
      <c r="B53" s="942"/>
      <c r="C53" s="939"/>
      <c r="D53" s="939"/>
      <c r="E53" s="939"/>
      <c r="F53" s="939"/>
      <c r="G53" s="939"/>
      <c r="H53" s="939"/>
      <c r="I53" s="939"/>
      <c r="J53" s="939"/>
      <c r="K53" s="939"/>
      <c r="L53" s="939"/>
      <c r="M53" s="939"/>
      <c r="N53" s="939"/>
      <c r="O53" s="939"/>
      <c r="P53" s="939"/>
      <c r="Q53" s="939"/>
      <c r="R53" s="939"/>
      <c r="S53" s="939"/>
      <c r="T53" s="939"/>
    </row>
    <row r="54" spans="1:20" ht="16.5" thickBot="1">
      <c r="A54" s="944"/>
      <c r="B54" s="944"/>
      <c r="C54" s="939"/>
      <c r="D54" s="939"/>
      <c r="E54" s="939"/>
      <c r="F54" s="939"/>
      <c r="G54" s="939"/>
      <c r="H54" s="939"/>
      <c r="I54" s="939"/>
      <c r="J54" s="939"/>
      <c r="K54" s="939"/>
      <c r="L54" s="939"/>
      <c r="M54" s="939"/>
      <c r="N54" s="939"/>
      <c r="O54" s="939"/>
      <c r="P54" s="939"/>
      <c r="Q54" s="939"/>
      <c r="R54" s="939"/>
      <c r="S54" s="939"/>
      <c r="T54" s="939"/>
    </row>
    <row r="55" spans="1:20" ht="16.5" thickBot="1">
      <c r="A55" s="945" t="s">
        <v>424</v>
      </c>
      <c r="B55" s="946">
        <f>SUM(B46:B54)</f>
        <v>0</v>
      </c>
      <c r="C55" s="939"/>
      <c r="D55" s="939"/>
      <c r="E55" s="939"/>
      <c r="F55" s="939"/>
      <c r="G55" s="939"/>
      <c r="H55" s="939"/>
      <c r="I55" s="939"/>
      <c r="J55" s="939"/>
      <c r="K55" s="939"/>
      <c r="L55" s="939"/>
      <c r="M55" s="939"/>
      <c r="N55" s="939"/>
      <c r="O55" s="939"/>
      <c r="P55" s="939"/>
      <c r="Q55" s="939"/>
      <c r="R55" s="939"/>
      <c r="S55" s="939"/>
      <c r="T55" s="939"/>
    </row>
    <row r="56" spans="1:20">
      <c r="A56" s="947"/>
      <c r="B56" s="939"/>
      <c r="C56" s="939"/>
      <c r="D56" s="939"/>
      <c r="E56" s="939"/>
      <c r="F56" s="939"/>
      <c r="G56" s="939"/>
      <c r="H56" s="939"/>
      <c r="I56" s="939"/>
      <c r="J56" s="939"/>
      <c r="K56" s="939"/>
      <c r="L56" s="939"/>
      <c r="M56" s="939"/>
      <c r="N56" s="939"/>
      <c r="O56" s="939"/>
      <c r="P56" s="939"/>
      <c r="Q56" s="939"/>
      <c r="R56" s="939"/>
      <c r="S56" s="939"/>
      <c r="T56" s="939"/>
    </row>
    <row r="57" spans="1:20">
      <c r="A57" s="947"/>
      <c r="B57" s="939"/>
      <c r="C57" s="939"/>
      <c r="D57" s="939"/>
      <c r="E57" s="939"/>
      <c r="F57" s="939"/>
      <c r="G57" s="939"/>
      <c r="H57" s="939"/>
      <c r="I57" s="939"/>
      <c r="J57" s="939"/>
      <c r="K57" s="939"/>
      <c r="L57" s="939"/>
      <c r="M57" s="939"/>
      <c r="N57" s="939"/>
      <c r="O57" s="939"/>
      <c r="P57" s="939"/>
      <c r="Q57" s="939"/>
      <c r="R57" s="939"/>
      <c r="S57" s="939"/>
      <c r="T57" s="939"/>
    </row>
    <row r="58" spans="1:20" ht="21" customHeight="1">
      <c r="A58" s="2055" t="s">
        <v>739</v>
      </c>
      <c r="B58" s="2055"/>
      <c r="C58" s="939"/>
      <c r="D58" s="939"/>
      <c r="E58" s="939"/>
      <c r="F58" s="939"/>
      <c r="G58" s="939"/>
      <c r="H58" s="939"/>
      <c r="I58" s="939"/>
      <c r="J58" s="939"/>
      <c r="K58" s="939"/>
      <c r="L58" s="939"/>
      <c r="M58" s="939"/>
      <c r="N58" s="939"/>
      <c r="O58" s="939"/>
      <c r="P58" s="939"/>
      <c r="Q58" s="939"/>
      <c r="R58" s="939"/>
      <c r="S58" s="939"/>
      <c r="T58" s="939"/>
    </row>
    <row r="59" spans="1:20">
      <c r="A59" s="947"/>
      <c r="B59" s="939"/>
      <c r="C59" s="939"/>
      <c r="D59" s="939"/>
      <c r="E59" s="939"/>
      <c r="F59" s="939"/>
      <c r="G59" s="939"/>
      <c r="H59" s="939"/>
      <c r="I59" s="939"/>
      <c r="J59" s="939"/>
      <c r="K59" s="939"/>
      <c r="L59" s="939"/>
      <c r="M59" s="939"/>
      <c r="N59" s="939"/>
      <c r="O59" s="939"/>
      <c r="P59" s="939"/>
      <c r="Q59" s="939"/>
      <c r="R59" s="939"/>
      <c r="S59" s="939"/>
      <c r="T59" s="939"/>
    </row>
    <row r="60" spans="1:20" ht="31.5">
      <c r="A60" s="941"/>
      <c r="B60" s="941" t="s">
        <v>740</v>
      </c>
      <c r="C60" s="939"/>
      <c r="D60" s="939"/>
      <c r="E60" s="939"/>
      <c r="F60" s="939"/>
      <c r="G60" s="939"/>
      <c r="H60" s="939"/>
      <c r="I60" s="939"/>
      <c r="J60" s="939"/>
      <c r="K60" s="939"/>
      <c r="L60" s="939"/>
      <c r="M60" s="939"/>
      <c r="N60" s="939"/>
      <c r="O60" s="939"/>
      <c r="P60" s="939"/>
      <c r="Q60" s="939"/>
      <c r="R60" s="939"/>
      <c r="S60" s="939"/>
      <c r="T60" s="939"/>
    </row>
    <row r="61" spans="1:20" ht="31.5">
      <c r="A61" s="941" t="s">
        <v>741</v>
      </c>
      <c r="B61" s="948">
        <f>SUM(B31:B40,B28:B29)</f>
        <v>0</v>
      </c>
      <c r="C61" s="939"/>
      <c r="D61" s="939"/>
      <c r="E61" s="939"/>
      <c r="F61" s="939"/>
      <c r="G61" s="939"/>
      <c r="H61" s="939"/>
      <c r="I61" s="939"/>
      <c r="J61" s="939"/>
      <c r="K61" s="939"/>
      <c r="L61" s="939"/>
      <c r="M61" s="939"/>
      <c r="N61" s="939"/>
      <c r="O61" s="939"/>
      <c r="P61" s="939"/>
      <c r="Q61" s="939"/>
      <c r="R61" s="939"/>
      <c r="S61" s="939"/>
      <c r="T61" s="939"/>
    </row>
    <row r="62" spans="1:20" ht="31.5">
      <c r="A62" s="941" t="s">
        <v>742</v>
      </c>
      <c r="B62" s="948">
        <f>SUM(B14:B22)</f>
        <v>0</v>
      </c>
      <c r="C62" s="939"/>
      <c r="D62" s="939"/>
      <c r="E62" s="939"/>
      <c r="F62" s="939"/>
      <c r="G62" s="939"/>
      <c r="H62" s="939"/>
      <c r="I62" s="939"/>
      <c r="J62" s="939"/>
      <c r="K62" s="939"/>
      <c r="L62" s="939"/>
      <c r="M62" s="939"/>
      <c r="N62" s="939"/>
      <c r="O62" s="939"/>
      <c r="P62" s="939"/>
      <c r="Q62" s="939"/>
      <c r="R62" s="939"/>
      <c r="S62" s="939"/>
      <c r="T62" s="939"/>
    </row>
    <row r="63" spans="1:20">
      <c r="A63" s="945" t="s">
        <v>743</v>
      </c>
      <c r="B63" s="948">
        <f>IF(B61=B62,B61,FALSE)</f>
        <v>0</v>
      </c>
      <c r="C63" s="769" t="s">
        <v>744</v>
      </c>
      <c r="D63" s="939"/>
      <c r="E63" s="939"/>
      <c r="F63" s="939"/>
      <c r="G63" s="939"/>
      <c r="H63" s="939"/>
      <c r="I63" s="939"/>
      <c r="J63" s="939"/>
      <c r="K63" s="939"/>
      <c r="L63" s="939"/>
      <c r="M63" s="939"/>
      <c r="N63" s="939"/>
      <c r="O63" s="939"/>
      <c r="P63" s="939"/>
      <c r="Q63" s="939"/>
      <c r="R63" s="939"/>
      <c r="S63" s="939"/>
      <c r="T63" s="939"/>
    </row>
    <row r="64" spans="1:20">
      <c r="A64" s="947"/>
      <c r="B64" s="939"/>
      <c r="C64" s="939"/>
      <c r="D64" s="939"/>
      <c r="E64" s="939"/>
      <c r="F64" s="939"/>
      <c r="G64" s="939"/>
      <c r="H64" s="939"/>
      <c r="I64" s="939"/>
      <c r="J64" s="939"/>
      <c r="K64" s="939"/>
      <c r="L64" s="939"/>
      <c r="M64" s="939"/>
      <c r="N64" s="939"/>
      <c r="O64" s="939"/>
      <c r="P64" s="939"/>
      <c r="Q64" s="939"/>
      <c r="R64" s="939"/>
      <c r="S64" s="939"/>
      <c r="T64" s="939"/>
    </row>
    <row r="65" spans="1:20" ht="31.5">
      <c r="A65" s="941"/>
      <c r="B65" s="941" t="s">
        <v>745</v>
      </c>
      <c r="C65" s="941" t="s">
        <v>421</v>
      </c>
      <c r="D65" s="949" t="s">
        <v>746</v>
      </c>
      <c r="E65" s="939"/>
      <c r="F65" s="939"/>
      <c r="G65" s="939"/>
      <c r="H65" s="939"/>
      <c r="I65" s="939"/>
      <c r="J65" s="939"/>
      <c r="K65" s="939"/>
      <c r="L65" s="939"/>
      <c r="M65" s="939"/>
      <c r="N65" s="939"/>
      <c r="O65" s="939"/>
      <c r="P65" s="939"/>
      <c r="Q65" s="939"/>
      <c r="R65" s="939"/>
      <c r="S65" s="939"/>
      <c r="T65" s="939"/>
    </row>
    <row r="66" spans="1:20">
      <c r="A66" s="941" t="s">
        <v>747</v>
      </c>
      <c r="B66" s="950">
        <f>Stationary!H6</f>
        <v>0</v>
      </c>
      <c r="C66" s="948">
        <f>B66*293.07</f>
        <v>0</v>
      </c>
      <c r="D66" s="939"/>
      <c r="E66" s="939"/>
      <c r="F66" s="939"/>
      <c r="G66" s="939"/>
      <c r="H66" s="939"/>
      <c r="I66" s="939"/>
      <c r="J66" s="939"/>
      <c r="K66" s="939"/>
      <c r="L66" s="939"/>
      <c r="M66" s="939"/>
      <c r="N66" s="939"/>
      <c r="O66" s="939"/>
      <c r="P66" s="939"/>
      <c r="Q66" s="939"/>
      <c r="R66" s="939"/>
      <c r="S66" s="939"/>
      <c r="T66" s="939"/>
    </row>
    <row r="67" spans="1:20" ht="16.5" thickBot="1">
      <c r="A67" s="941" t="s">
        <v>748</v>
      </c>
      <c r="B67" s="938"/>
      <c r="C67" s="951">
        <f>Stationary!G6</f>
        <v>0</v>
      </c>
      <c r="D67" s="939"/>
      <c r="E67" s="939"/>
      <c r="F67" s="939"/>
      <c r="G67" s="939"/>
      <c r="H67" s="939"/>
      <c r="I67" s="939"/>
      <c r="J67" s="939"/>
      <c r="K67" s="939"/>
      <c r="L67" s="939"/>
      <c r="M67" s="939"/>
      <c r="N67" s="939"/>
      <c r="O67" s="939"/>
      <c r="P67" s="939"/>
      <c r="Q67" s="939"/>
      <c r="R67" s="939"/>
      <c r="S67" s="939"/>
      <c r="T67" s="939"/>
    </row>
    <row r="68" spans="1:20" ht="16.5" thickBot="1">
      <c r="A68" s="952"/>
      <c r="B68" s="953" t="s">
        <v>424</v>
      </c>
      <c r="C68" s="946">
        <f>SUM(C66:C67,B63)</f>
        <v>0</v>
      </c>
      <c r="D68" s="939"/>
      <c r="E68" s="939"/>
      <c r="F68" s="939"/>
      <c r="G68" s="939"/>
      <c r="H68" s="939"/>
      <c r="I68" s="939"/>
      <c r="J68" s="939"/>
      <c r="K68" s="939"/>
      <c r="L68" s="939"/>
      <c r="M68" s="939"/>
      <c r="N68" s="939"/>
      <c r="O68" s="939"/>
      <c r="P68" s="939"/>
      <c r="Q68" s="939"/>
      <c r="R68" s="939"/>
      <c r="S68" s="939"/>
      <c r="T68" s="939"/>
    </row>
    <row r="69" spans="1:20">
      <c r="A69" s="947"/>
      <c r="B69" s="939"/>
      <c r="C69" s="939"/>
      <c r="D69" s="939"/>
      <c r="E69" s="939"/>
      <c r="F69" s="939"/>
      <c r="G69" s="939"/>
      <c r="H69" s="939"/>
      <c r="I69" s="939"/>
      <c r="J69" s="939"/>
      <c r="K69" s="939"/>
      <c r="L69" s="939"/>
      <c r="M69" s="939"/>
      <c r="N69" s="939"/>
      <c r="O69" s="939"/>
      <c r="P69" s="939"/>
      <c r="Q69" s="939"/>
      <c r="R69" s="939"/>
      <c r="S69" s="939"/>
      <c r="T69" s="939"/>
    </row>
    <row r="70" spans="1:20">
      <c r="A70" s="954"/>
      <c r="B70" s="939"/>
      <c r="C70" s="939"/>
      <c r="D70" s="939"/>
      <c r="E70" s="939"/>
      <c r="F70" s="939"/>
      <c r="G70" s="939"/>
      <c r="H70" s="939"/>
      <c r="I70" s="939"/>
      <c r="J70" s="939"/>
      <c r="K70" s="939"/>
      <c r="L70" s="939"/>
      <c r="M70" s="939"/>
      <c r="N70" s="939"/>
      <c r="O70" s="939"/>
      <c r="P70" s="939"/>
      <c r="Q70" s="939"/>
      <c r="R70" s="939"/>
      <c r="S70" s="939"/>
      <c r="T70" s="939"/>
    </row>
    <row r="71" spans="1:20" ht="21.75" thickBot="1">
      <c r="A71" s="721" t="s">
        <v>749</v>
      </c>
      <c r="B71" s="939"/>
      <c r="C71" s="939"/>
      <c r="D71" s="939"/>
      <c r="E71" s="939"/>
      <c r="F71" s="939"/>
      <c r="G71" s="939"/>
      <c r="H71" s="939"/>
      <c r="I71" s="939"/>
      <c r="J71" s="939"/>
      <c r="K71" s="939"/>
      <c r="L71" s="939"/>
      <c r="M71" s="939"/>
      <c r="N71" s="939"/>
      <c r="O71" s="939"/>
      <c r="P71" s="939"/>
      <c r="Q71" s="939"/>
      <c r="R71" s="939"/>
      <c r="S71" s="939"/>
      <c r="T71" s="939"/>
    </row>
    <row r="72" spans="1:20" ht="94.5">
      <c r="A72" s="955" t="s">
        <v>750</v>
      </c>
      <c r="B72" s="956">
        <f>IF(G73&gt;0,C68,B55)</f>
        <v>0</v>
      </c>
      <c r="C72" s="769"/>
      <c r="D72" s="939"/>
      <c r="E72" s="941" t="s">
        <v>751</v>
      </c>
      <c r="F72" s="941" t="s">
        <v>752</v>
      </c>
      <c r="G72" s="941" t="s">
        <v>753</v>
      </c>
      <c r="H72" s="939"/>
      <c r="I72" s="939"/>
      <c r="J72" s="939"/>
      <c r="K72" s="939"/>
      <c r="L72" s="939"/>
      <c r="M72" s="939"/>
      <c r="N72" s="939"/>
      <c r="O72" s="939"/>
      <c r="P72" s="939"/>
      <c r="Q72" s="939"/>
      <c r="R72" s="939"/>
      <c r="S72" s="939"/>
      <c r="T72" s="939"/>
    </row>
    <row r="73" spans="1:20" ht="19.5" customHeight="1">
      <c r="A73" s="955" t="s">
        <v>739</v>
      </c>
      <c r="B73" s="957">
        <f>C68+B63</f>
        <v>0</v>
      </c>
      <c r="C73" s="769"/>
      <c r="D73" s="939"/>
      <c r="E73" s="950">
        <f>B55</f>
        <v>0</v>
      </c>
      <c r="F73" s="950">
        <f>C68</f>
        <v>0</v>
      </c>
      <c r="G73" s="950">
        <f>E73-F73</f>
        <v>0</v>
      </c>
      <c r="H73" s="769" t="s">
        <v>754</v>
      </c>
      <c r="I73" s="939"/>
      <c r="J73" s="939"/>
      <c r="K73" s="939"/>
      <c r="L73" s="939"/>
      <c r="M73" s="939"/>
      <c r="N73" s="939"/>
      <c r="O73" s="939"/>
      <c r="P73" s="939"/>
      <c r="Q73" s="939"/>
      <c r="R73" s="939"/>
      <c r="S73" s="939"/>
      <c r="T73" s="939"/>
    </row>
    <row r="74" spans="1:20" ht="16.5" thickBot="1">
      <c r="A74" s="955" t="s">
        <v>715</v>
      </c>
      <c r="B74" s="958">
        <f>IFERROR(B72/B73,0)</f>
        <v>0</v>
      </c>
      <c r="C74" s="939"/>
      <c r="D74" s="939"/>
      <c r="E74" s="939"/>
      <c r="F74" s="939"/>
      <c r="G74" s="939"/>
      <c r="H74" s="769" t="s">
        <v>755</v>
      </c>
      <c r="I74" s="939"/>
      <c r="J74" s="939"/>
      <c r="K74" s="939"/>
      <c r="L74" s="939"/>
      <c r="M74" s="939"/>
      <c r="N74" s="939"/>
      <c r="O74" s="939"/>
      <c r="P74" s="939"/>
      <c r="Q74" s="939"/>
      <c r="R74" s="939"/>
      <c r="S74" s="939"/>
      <c r="T74" s="939"/>
    </row>
  </sheetData>
  <sheetProtection selectLockedCells="1"/>
  <mergeCells count="11">
    <mergeCell ref="E26:F26"/>
    <mergeCell ref="A43:T43"/>
    <mergeCell ref="A58:B58"/>
    <mergeCell ref="B1:E1"/>
    <mergeCell ref="H1:M1"/>
    <mergeCell ref="A10:F10"/>
    <mergeCell ref="A24:F24"/>
    <mergeCell ref="B25:C25"/>
    <mergeCell ref="C26:D26"/>
    <mergeCell ref="C3:G4"/>
    <mergeCell ref="C7:G8"/>
  </mergeCells>
  <pageMargins left="0.7" right="0.7" top="0.75" bottom="0.75" header="0.3" footer="0.3"/>
  <pageSetup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9999"/>
  </sheetPr>
  <dimension ref="A1:Q93"/>
  <sheetViews>
    <sheetView topLeftCell="A45" zoomScale="73" zoomScaleNormal="90" workbookViewId="0">
      <selection activeCell="F49" sqref="F49:F51"/>
    </sheetView>
  </sheetViews>
  <sheetFormatPr baseColWidth="10" defaultColWidth="8.85546875" defaultRowHeight="15.75"/>
  <cols>
    <col min="1" max="1" width="29.85546875" style="694" customWidth="1"/>
    <col min="2" max="2" width="24.85546875" style="694" customWidth="1"/>
    <col min="3" max="3" width="33.140625" style="694" customWidth="1"/>
    <col min="4" max="4" width="30.5703125" style="694" customWidth="1"/>
    <col min="5" max="6" width="15.7109375" style="694" customWidth="1"/>
    <col min="7" max="7" width="28.140625" style="694" customWidth="1"/>
    <col min="8" max="8" width="25" style="694" customWidth="1"/>
    <col min="9" max="9" width="15.7109375" style="694" customWidth="1"/>
    <col min="10" max="10" width="16.42578125" style="694" customWidth="1"/>
    <col min="11" max="11" width="15.7109375" style="694" customWidth="1"/>
    <col min="12" max="12" width="17.42578125" style="694" customWidth="1"/>
    <col min="13" max="16" width="15.7109375" style="694" customWidth="1"/>
    <col min="17" max="17" width="15.85546875" style="694" customWidth="1"/>
    <col min="18" max="18" width="11.42578125" style="694" customWidth="1"/>
    <col min="19" max="19" width="21.42578125" style="694" customWidth="1"/>
    <col min="20" max="16384" width="8.85546875" style="694"/>
  </cols>
  <sheetData>
    <row r="1" spans="1:11" ht="56.25" customHeight="1" thickBot="1">
      <c r="A1" s="825" t="s">
        <v>756</v>
      </c>
      <c r="B1" s="2045" t="s">
        <v>757</v>
      </c>
      <c r="C1" s="2022"/>
      <c r="D1" s="2022"/>
      <c r="E1" s="2023"/>
      <c r="F1" s="2001" t="s">
        <v>414</v>
      </c>
      <c r="G1" s="2002"/>
      <c r="H1" s="2002"/>
      <c r="I1" s="2002"/>
      <c r="J1" s="2003"/>
    </row>
    <row r="2" spans="1:11">
      <c r="B2" s="732"/>
      <c r="F2" s="733" t="s">
        <v>415</v>
      </c>
      <c r="G2" s="734"/>
      <c r="H2" s="694" t="s">
        <v>758</v>
      </c>
      <c r="I2" s="736"/>
      <c r="J2" s="735" t="s">
        <v>417</v>
      </c>
      <c r="K2" s="737"/>
    </row>
    <row r="4" spans="1:11" ht="37.5">
      <c r="B4" s="692" t="s">
        <v>553</v>
      </c>
    </row>
    <row r="5" spans="1:11" ht="21">
      <c r="A5" s="827" t="s">
        <v>106</v>
      </c>
      <c r="B5" s="739">
        <f>G42</f>
        <v>0</v>
      </c>
    </row>
    <row r="6" spans="1:11" ht="21">
      <c r="A6" s="827" t="s">
        <v>107</v>
      </c>
      <c r="B6" s="739">
        <f>SUM(G48:G49)</f>
        <v>0</v>
      </c>
    </row>
    <row r="7" spans="1:11" ht="21">
      <c r="A7" s="827" t="s">
        <v>108</v>
      </c>
      <c r="B7" s="739">
        <f>SUM(G50:G52)</f>
        <v>0</v>
      </c>
    </row>
    <row r="8" spans="1:11" ht="21">
      <c r="A8" s="827" t="s">
        <v>110</v>
      </c>
      <c r="B8" s="739">
        <f>SUM(G53:G54)</f>
        <v>0</v>
      </c>
      <c r="E8" s="959"/>
      <c r="J8" s="959"/>
    </row>
    <row r="9" spans="1:11" ht="21">
      <c r="A9" s="827" t="s">
        <v>111</v>
      </c>
      <c r="B9" s="739">
        <f>SUM(G55:G56)</f>
        <v>0</v>
      </c>
      <c r="C9" s="960"/>
    </row>
    <row r="10" spans="1:11" ht="21">
      <c r="A10" s="827" t="s">
        <v>112</v>
      </c>
      <c r="B10" s="739">
        <f t="shared" ref="B10:B18" si="0">G57</f>
        <v>0</v>
      </c>
      <c r="C10" s="960"/>
    </row>
    <row r="11" spans="1:11" ht="21">
      <c r="A11" s="827" t="s">
        <v>113</v>
      </c>
      <c r="B11" s="739">
        <f t="shared" si="0"/>
        <v>0</v>
      </c>
      <c r="C11" s="960"/>
    </row>
    <row r="12" spans="1:11" ht="21">
      <c r="A12" s="827" t="s">
        <v>114</v>
      </c>
      <c r="B12" s="739">
        <f t="shared" si="0"/>
        <v>0</v>
      </c>
      <c r="C12" s="960"/>
    </row>
    <row r="13" spans="1:11" ht="21">
      <c r="A13" s="827" t="s">
        <v>115</v>
      </c>
      <c r="B13" s="739">
        <f t="shared" si="0"/>
        <v>0</v>
      </c>
      <c r="C13" s="960"/>
    </row>
    <row r="14" spans="1:11" ht="21">
      <c r="A14" s="827" t="s">
        <v>116</v>
      </c>
      <c r="B14" s="739">
        <f t="shared" si="0"/>
        <v>0</v>
      </c>
      <c r="C14" s="960"/>
    </row>
    <row r="15" spans="1:11" ht="21">
      <c r="A15" s="827" t="s">
        <v>117</v>
      </c>
      <c r="B15" s="739">
        <f t="shared" si="0"/>
        <v>0</v>
      </c>
    </row>
    <row r="16" spans="1:11" ht="21">
      <c r="A16" s="827" t="s">
        <v>118</v>
      </c>
      <c r="B16" s="739">
        <f t="shared" si="0"/>
        <v>0</v>
      </c>
    </row>
    <row r="17" spans="1:17" ht="21">
      <c r="A17" s="827" t="s">
        <v>119</v>
      </c>
      <c r="B17" s="739">
        <f t="shared" si="0"/>
        <v>0</v>
      </c>
    </row>
    <row r="18" spans="1:17" ht="21">
      <c r="A18" s="827" t="s">
        <v>759</v>
      </c>
      <c r="B18" s="739">
        <f t="shared" si="0"/>
        <v>0</v>
      </c>
    </row>
    <row r="19" spans="1:17" ht="21">
      <c r="A19" s="827" t="s">
        <v>121</v>
      </c>
      <c r="B19" s="739">
        <f>SUM(G66,C75)</f>
        <v>0</v>
      </c>
    </row>
    <row r="20" spans="1:17" ht="21">
      <c r="A20" s="827" t="s">
        <v>424</v>
      </c>
      <c r="B20" s="700">
        <f>SUM(B5:B16)</f>
        <v>0</v>
      </c>
    </row>
    <row r="22" spans="1:17" s="740" customFormat="1" ht="36">
      <c r="A22" s="2009" t="s">
        <v>106</v>
      </c>
      <c r="B22" s="2010"/>
      <c r="C22" s="2010"/>
      <c r="D22" s="2010"/>
      <c r="E22" s="2010"/>
      <c r="F22" s="2010"/>
      <c r="G22" s="2010"/>
      <c r="H22" s="2010"/>
      <c r="I22" s="2010"/>
      <c r="J22" s="2010"/>
      <c r="K22" s="2010"/>
      <c r="L22" s="2010"/>
      <c r="M22" s="2010"/>
      <c r="N22" s="2010"/>
      <c r="O22" s="2010"/>
      <c r="P22" s="2010"/>
      <c r="Q22" s="2011"/>
    </row>
    <row r="23" spans="1:17">
      <c r="A23" s="920"/>
    </row>
    <row r="24" spans="1:17" s="743" customFormat="1" ht="24" thickBot="1">
      <c r="A24" s="694" t="s">
        <v>760</v>
      </c>
      <c r="C24" s="2007" t="s">
        <v>427</v>
      </c>
      <c r="D24" s="2008"/>
    </row>
    <row r="25" spans="1:17" s="870" customFormat="1" ht="56.25">
      <c r="A25" s="961" t="s">
        <v>761</v>
      </c>
      <c r="B25" s="961" t="s">
        <v>762</v>
      </c>
      <c r="C25" s="808" t="s">
        <v>763</v>
      </c>
      <c r="D25" s="692" t="s">
        <v>764</v>
      </c>
      <c r="E25" s="808" t="s">
        <v>765</v>
      </c>
      <c r="F25" s="808" t="s">
        <v>766</v>
      </c>
      <c r="G25" s="693" t="s">
        <v>767</v>
      </c>
      <c r="H25" s="870" t="s">
        <v>768</v>
      </c>
    </row>
    <row r="26" spans="1:17">
      <c r="A26" s="963"/>
      <c r="B26" s="963"/>
      <c r="C26" s="962">
        <f t="shared" ref="C26:C41" si="1">A26*B26</f>
        <v>0</v>
      </c>
      <c r="D26" s="739">
        <f>C26/907.185</f>
        <v>0</v>
      </c>
      <c r="E26" s="1435"/>
      <c r="F26" s="1435"/>
      <c r="G26" s="701">
        <f>SUM((D26*E26*'Emission Factors'!$E$595)+(D26*F26*'Emission Factors'!$F$595))</f>
        <v>0</v>
      </c>
      <c r="H26" s="769">
        <f>((A26*6*'Emission Factors'!$J$595*E26)+(A26*6*'Emission Factors'!$K$595*F26))/1000</f>
        <v>0</v>
      </c>
      <c r="I26" s="963"/>
    </row>
    <row r="27" spans="1:17">
      <c r="A27" s="963"/>
      <c r="B27" s="963"/>
      <c r="C27" s="962">
        <f t="shared" si="1"/>
        <v>0</v>
      </c>
      <c r="D27" s="739">
        <f t="shared" ref="D27:D41" si="2">C27/907.185</f>
        <v>0</v>
      </c>
      <c r="E27" s="1435"/>
      <c r="F27" s="1435"/>
      <c r="G27" s="701">
        <f>SUM((D27*E27*'Emission Factors'!$E$595)+(D27*F27*'Emission Factors'!$F$595))</f>
        <v>0</v>
      </c>
      <c r="H27" s="769">
        <f>((A27*6*'Emission Factors'!$J$595*E27)+(A27*6*'Emission Factors'!$K$595*F27))/1000</f>
        <v>0</v>
      </c>
      <c r="I27" s="963"/>
    </row>
    <row r="28" spans="1:17">
      <c r="A28" s="963"/>
      <c r="B28" s="963"/>
      <c r="C28" s="962">
        <f t="shared" si="1"/>
        <v>0</v>
      </c>
      <c r="D28" s="739">
        <f t="shared" si="2"/>
        <v>0</v>
      </c>
      <c r="E28" s="1435"/>
      <c r="F28" s="1435"/>
      <c r="G28" s="701">
        <f>SUM((D28*E28*'Emission Factors'!$E$595)+(D28*F28*'Emission Factors'!$F$595))</f>
        <v>0</v>
      </c>
      <c r="H28" s="769">
        <f>((A28*6*'Emission Factors'!$J$595*E28)+(A28*6*'Emission Factors'!$K$595*F28))/1000</f>
        <v>0</v>
      </c>
      <c r="I28" s="963"/>
    </row>
    <row r="29" spans="1:17">
      <c r="A29" s="963"/>
      <c r="B29" s="963"/>
      <c r="C29" s="962">
        <f t="shared" si="1"/>
        <v>0</v>
      </c>
      <c r="D29" s="739">
        <f t="shared" si="2"/>
        <v>0</v>
      </c>
      <c r="E29" s="1435"/>
      <c r="F29" s="1435"/>
      <c r="G29" s="701">
        <f>SUM((D29*E29*'Emission Factors'!$E$595)+(D29*F29*'Emission Factors'!$F$595))</f>
        <v>0</v>
      </c>
      <c r="H29" s="769">
        <f>((A29*6*'Emission Factors'!$J$595*E29)+(A29*6*'Emission Factors'!$K$595*F29))/1000</f>
        <v>0</v>
      </c>
      <c r="I29" s="963"/>
    </row>
    <row r="30" spans="1:17">
      <c r="A30" s="963"/>
      <c r="B30" s="963"/>
      <c r="C30" s="962">
        <f t="shared" si="1"/>
        <v>0</v>
      </c>
      <c r="D30" s="739">
        <f t="shared" si="2"/>
        <v>0</v>
      </c>
      <c r="E30" s="1435"/>
      <c r="F30" s="1435"/>
      <c r="G30" s="701">
        <f>SUM((D30*E30*'Emission Factors'!$E$595)+(D30*F30*'Emission Factors'!$F$595))</f>
        <v>0</v>
      </c>
      <c r="H30" s="769">
        <f>((A30*6*'Emission Factors'!$J$595*E30)+(A30*6*'Emission Factors'!$K$595*F30))/1000</f>
        <v>0</v>
      </c>
      <c r="I30" s="963"/>
    </row>
    <row r="31" spans="1:17">
      <c r="A31" s="963"/>
      <c r="B31" s="963"/>
      <c r="C31" s="962">
        <f t="shared" si="1"/>
        <v>0</v>
      </c>
      <c r="D31" s="739">
        <f t="shared" si="2"/>
        <v>0</v>
      </c>
      <c r="E31" s="1435"/>
      <c r="F31" s="1435"/>
      <c r="G31" s="701">
        <f>SUM((D31*E31*'Emission Factors'!$E$595)+(D31*F31*'Emission Factors'!$F$595))</f>
        <v>0</v>
      </c>
      <c r="H31" s="769">
        <f>((A31*6*'Emission Factors'!$J$595*E31)+(A31*6*'Emission Factors'!$K$595*F31))/1000</f>
        <v>0</v>
      </c>
      <c r="I31" s="963"/>
    </row>
    <row r="32" spans="1:17">
      <c r="A32" s="963"/>
      <c r="B32" s="963"/>
      <c r="C32" s="962">
        <f t="shared" si="1"/>
        <v>0</v>
      </c>
      <c r="D32" s="739">
        <f t="shared" si="2"/>
        <v>0</v>
      </c>
      <c r="E32" s="1435"/>
      <c r="F32" s="1435"/>
      <c r="G32" s="701">
        <f>SUM((D32*E32*'Emission Factors'!$E$595)+(D32*F32*'Emission Factors'!$F$595))</f>
        <v>0</v>
      </c>
      <c r="H32" s="769">
        <f>((A32*6*'Emission Factors'!$J$595*E32)+(A32*6*'Emission Factors'!$K$595*F32))/1000</f>
        <v>0</v>
      </c>
      <c r="I32" s="963"/>
    </row>
    <row r="33" spans="1:17">
      <c r="A33" s="963"/>
      <c r="B33" s="963"/>
      <c r="C33" s="962">
        <f t="shared" si="1"/>
        <v>0</v>
      </c>
      <c r="D33" s="739">
        <f t="shared" si="2"/>
        <v>0</v>
      </c>
      <c r="E33" s="1435"/>
      <c r="F33" s="1435"/>
      <c r="G33" s="701">
        <f>SUM((D33*E33*'Emission Factors'!$E$595)+(D33*F33*'Emission Factors'!$F$595))</f>
        <v>0</v>
      </c>
      <c r="H33" s="769">
        <f>((A33*6*'Emission Factors'!$J$595*E33)+(A33*6*'Emission Factors'!$K$595*F33))/1000</f>
        <v>0</v>
      </c>
      <c r="I33" s="963"/>
    </row>
    <row r="34" spans="1:17">
      <c r="A34" s="963"/>
      <c r="B34" s="963"/>
      <c r="C34" s="962">
        <f t="shared" si="1"/>
        <v>0</v>
      </c>
      <c r="D34" s="739">
        <f t="shared" si="2"/>
        <v>0</v>
      </c>
      <c r="E34" s="1435"/>
      <c r="F34" s="1435"/>
      <c r="G34" s="701">
        <f>SUM((D34*E34*'Emission Factors'!$E$595)+(D34*F34*'Emission Factors'!$F$595))</f>
        <v>0</v>
      </c>
      <c r="H34" s="769">
        <f>((A34*6*'Emission Factors'!$J$595*E34)+(A34*6*'Emission Factors'!$K$595*F34))/1000</f>
        <v>0</v>
      </c>
      <c r="I34" s="963"/>
    </row>
    <row r="35" spans="1:17">
      <c r="A35" s="963"/>
      <c r="B35" s="963"/>
      <c r="C35" s="962">
        <f t="shared" si="1"/>
        <v>0</v>
      </c>
      <c r="D35" s="739">
        <f t="shared" si="2"/>
        <v>0</v>
      </c>
      <c r="E35" s="1435"/>
      <c r="F35" s="1435"/>
      <c r="G35" s="701">
        <f>SUM((D35*E35*'Emission Factors'!$E$595)+(D35*F35*'Emission Factors'!$F$595))</f>
        <v>0</v>
      </c>
      <c r="H35" s="769">
        <f>((A35*6*'Emission Factors'!$J$595*E35)+(A35*6*'Emission Factors'!$K$595*F35))/1000</f>
        <v>0</v>
      </c>
      <c r="I35" s="963"/>
    </row>
    <row r="36" spans="1:17">
      <c r="A36" s="963"/>
      <c r="B36" s="963"/>
      <c r="C36" s="962">
        <f t="shared" si="1"/>
        <v>0</v>
      </c>
      <c r="D36" s="739">
        <f t="shared" si="2"/>
        <v>0</v>
      </c>
      <c r="E36" s="1435"/>
      <c r="F36" s="1435"/>
      <c r="G36" s="701">
        <f>SUM((D36*E36*'Emission Factors'!$E$595)+(D36*F36*'Emission Factors'!$F$595))</f>
        <v>0</v>
      </c>
      <c r="H36" s="769">
        <f>((A36*6*'Emission Factors'!$J$595*E36)+(A36*6*'Emission Factors'!$K$595*F36))/1000</f>
        <v>0</v>
      </c>
      <c r="I36" s="963"/>
    </row>
    <row r="37" spans="1:17">
      <c r="A37" s="963"/>
      <c r="B37" s="963"/>
      <c r="C37" s="962">
        <f t="shared" si="1"/>
        <v>0</v>
      </c>
      <c r="D37" s="739">
        <f t="shared" si="2"/>
        <v>0</v>
      </c>
      <c r="E37" s="1435"/>
      <c r="F37" s="1435"/>
      <c r="G37" s="701">
        <f>SUM((D37*E37*'Emission Factors'!$E$595)+(D37*F37*'Emission Factors'!$F$595))</f>
        <v>0</v>
      </c>
      <c r="H37" s="769">
        <f>((A37*6*'Emission Factors'!$J$595*E37)+(A37*6*'Emission Factors'!$K$595*F37))/1000</f>
        <v>0</v>
      </c>
      <c r="I37" s="963"/>
    </row>
    <row r="38" spans="1:17">
      <c r="A38" s="963"/>
      <c r="B38" s="963"/>
      <c r="C38" s="962">
        <f t="shared" si="1"/>
        <v>0</v>
      </c>
      <c r="D38" s="739">
        <f t="shared" si="2"/>
        <v>0</v>
      </c>
      <c r="E38" s="1435"/>
      <c r="F38" s="1435"/>
      <c r="G38" s="701">
        <f>SUM((D38*E38*'Emission Factors'!$E$595)+(D38*F38*'Emission Factors'!$F$595))</f>
        <v>0</v>
      </c>
      <c r="H38" s="769">
        <f>((A38*6*'Emission Factors'!$J$595*E38)+(A38*6*'Emission Factors'!$K$595*F38))/1000</f>
        <v>0</v>
      </c>
      <c r="I38" s="963"/>
    </row>
    <row r="39" spans="1:17">
      <c r="A39" s="963"/>
      <c r="B39" s="963"/>
      <c r="C39" s="962">
        <f t="shared" si="1"/>
        <v>0</v>
      </c>
      <c r="D39" s="739">
        <f t="shared" si="2"/>
        <v>0</v>
      </c>
      <c r="E39" s="1435"/>
      <c r="F39" s="1435"/>
      <c r="G39" s="701">
        <f>SUM((D39*E39*'Emission Factors'!$E$595)+(D39*F39*'Emission Factors'!$F$595))</f>
        <v>0</v>
      </c>
      <c r="H39" s="769">
        <f>((A39*6*'Emission Factors'!$J$595*E39)+(A39*6*'Emission Factors'!$K$595*F39))/1000</f>
        <v>0</v>
      </c>
      <c r="I39" s="963"/>
    </row>
    <row r="40" spans="1:17">
      <c r="A40" s="963"/>
      <c r="B40" s="963"/>
      <c r="C40" s="962">
        <f t="shared" si="1"/>
        <v>0</v>
      </c>
      <c r="D40" s="739">
        <f t="shared" si="2"/>
        <v>0</v>
      </c>
      <c r="E40" s="1435"/>
      <c r="F40" s="1435"/>
      <c r="G40" s="701">
        <f>SUM((D40*E40*'Emission Factors'!$E$595)+(D40*F40*'Emission Factors'!$F$595))</f>
        <v>0</v>
      </c>
      <c r="H40" s="769">
        <f>((A40*6*'Emission Factors'!$J$595*E40)+(A40*6*'Emission Factors'!$K$595*F40))/1000</f>
        <v>0</v>
      </c>
      <c r="I40" s="963"/>
    </row>
    <row r="41" spans="1:17" ht="16.5" thickBot="1">
      <c r="A41" s="963"/>
      <c r="B41" s="963"/>
      <c r="C41" s="962">
        <f t="shared" si="1"/>
        <v>0</v>
      </c>
      <c r="D41" s="739">
        <f t="shared" si="2"/>
        <v>0</v>
      </c>
      <c r="E41" s="1435"/>
      <c r="F41" s="1435"/>
      <c r="G41" s="964">
        <f>SUM((D41*E41*'Emission Factors'!$E$595)+(D41*F41*'Emission Factors'!$F$595))</f>
        <v>0</v>
      </c>
      <c r="H41" s="769">
        <f>((A41*6*'Emission Factors'!$J$595*E41)+(A41*6*'Emission Factors'!$K$595*F41))/1000</f>
        <v>0</v>
      </c>
      <c r="I41" s="963"/>
    </row>
    <row r="42" spans="1:17" ht="16.5" thickBot="1">
      <c r="A42" s="722"/>
      <c r="B42" s="965"/>
      <c r="C42" s="966"/>
      <c r="F42" s="967" t="s">
        <v>434</v>
      </c>
      <c r="G42" s="787">
        <f>SUM(G26:G41)</f>
        <v>0</v>
      </c>
      <c r="H42" s="710">
        <f>SUM(H26:H41)</f>
        <v>0</v>
      </c>
    </row>
    <row r="43" spans="1:17">
      <c r="A43" s="722"/>
      <c r="B43" s="965"/>
      <c r="C43" s="966"/>
      <c r="F43" s="711"/>
      <c r="G43" s="711"/>
      <c r="H43" s="710"/>
    </row>
    <row r="44" spans="1:17" s="740" customFormat="1" ht="36">
      <c r="A44" s="2009" t="s">
        <v>769</v>
      </c>
      <c r="B44" s="2010"/>
      <c r="C44" s="2010"/>
      <c r="D44" s="2010"/>
      <c r="E44" s="2010"/>
      <c r="F44" s="2010"/>
      <c r="G44" s="2010"/>
      <c r="H44" s="2010"/>
      <c r="I44" s="2010"/>
      <c r="J44" s="2010"/>
      <c r="K44" s="2010"/>
      <c r="L44" s="2010"/>
      <c r="M44" s="2010"/>
      <c r="N44" s="2010"/>
      <c r="O44" s="2010"/>
      <c r="P44" s="2010"/>
      <c r="Q44" s="2011"/>
    </row>
    <row r="45" spans="1:17">
      <c r="A45" s="722"/>
      <c r="B45" s="965"/>
      <c r="C45" s="966"/>
      <c r="F45" s="711"/>
      <c r="G45" s="711"/>
      <c r="H45" s="710"/>
    </row>
    <row r="46" spans="1:17" s="743" customFormat="1" ht="24" thickBot="1">
      <c r="A46" s="723"/>
      <c r="B46" s="968"/>
      <c r="C46" s="2007" t="s">
        <v>427</v>
      </c>
      <c r="D46" s="2008"/>
      <c r="F46" s="926"/>
      <c r="G46" s="926"/>
      <c r="H46" s="767"/>
    </row>
    <row r="47" spans="1:17" s="744" customFormat="1" ht="75">
      <c r="A47" s="692" t="s">
        <v>770</v>
      </c>
      <c r="B47" s="692" t="s">
        <v>771</v>
      </c>
      <c r="C47" s="692" t="s">
        <v>772</v>
      </c>
      <c r="D47" s="692" t="s">
        <v>773</v>
      </c>
      <c r="E47" s="692" t="s">
        <v>774</v>
      </c>
      <c r="F47" s="692" t="s">
        <v>775</v>
      </c>
      <c r="G47" s="693" t="s">
        <v>767</v>
      </c>
      <c r="J47" s="862"/>
    </row>
    <row r="48" spans="1:17">
      <c r="A48" s="969" t="s">
        <v>776</v>
      </c>
      <c r="B48" s="970"/>
      <c r="C48" s="970"/>
      <c r="D48" s="971">
        <f t="shared" ref="D48:D58" si="3">B48*C48</f>
        <v>0</v>
      </c>
      <c r="E48" s="971">
        <f>D48/1000</f>
        <v>0</v>
      </c>
      <c r="F48" s="739">
        <f>E48/1000</f>
        <v>0</v>
      </c>
      <c r="G48" s="972">
        <f>F48*'Emission Factors'!C595</f>
        <v>0</v>
      </c>
    </row>
    <row r="49" spans="1:7">
      <c r="A49" s="969" t="s">
        <v>777</v>
      </c>
      <c r="B49" s="970"/>
      <c r="C49" s="970"/>
      <c r="D49" s="971">
        <f t="shared" si="3"/>
        <v>0</v>
      </c>
      <c r="E49" s="971">
        <f t="shared" ref="E49:F63" si="4">D49/1000</f>
        <v>0</v>
      </c>
      <c r="F49" s="739">
        <f t="shared" si="4"/>
        <v>0</v>
      </c>
      <c r="G49" s="972">
        <f>F49*'Emission Factors'!C596</f>
        <v>0</v>
      </c>
    </row>
    <row r="50" spans="1:7">
      <c r="A50" s="969" t="s">
        <v>778</v>
      </c>
      <c r="B50" s="970"/>
      <c r="C50" s="970"/>
      <c r="D50" s="971">
        <f t="shared" si="3"/>
        <v>0</v>
      </c>
      <c r="E50" s="971">
        <f t="shared" si="4"/>
        <v>0</v>
      </c>
      <c r="F50" s="739">
        <f t="shared" si="4"/>
        <v>0</v>
      </c>
      <c r="G50" s="972">
        <f>F50*'Emission Factors'!C597</f>
        <v>0</v>
      </c>
    </row>
    <row r="51" spans="1:7">
      <c r="A51" s="969" t="s">
        <v>779</v>
      </c>
      <c r="B51" s="970"/>
      <c r="C51" s="970"/>
      <c r="D51" s="971">
        <f t="shared" si="3"/>
        <v>0</v>
      </c>
      <c r="E51" s="971">
        <f t="shared" si="4"/>
        <v>0</v>
      </c>
      <c r="F51" s="739">
        <f t="shared" si="4"/>
        <v>0</v>
      </c>
      <c r="G51" s="972">
        <f>F51*'Emission Factors'!C598</f>
        <v>0</v>
      </c>
    </row>
    <row r="52" spans="1:7">
      <c r="A52" s="969" t="s">
        <v>780</v>
      </c>
      <c r="B52" s="970"/>
      <c r="C52" s="970"/>
      <c r="D52" s="971">
        <f t="shared" si="3"/>
        <v>0</v>
      </c>
      <c r="E52" s="971">
        <f t="shared" si="4"/>
        <v>0</v>
      </c>
      <c r="F52" s="739">
        <f t="shared" si="4"/>
        <v>0</v>
      </c>
      <c r="G52" s="972">
        <f>F52*'Emission Factors'!C599</f>
        <v>0</v>
      </c>
    </row>
    <row r="53" spans="1:7">
      <c r="A53" s="969" t="s">
        <v>781</v>
      </c>
      <c r="B53" s="970"/>
      <c r="C53" s="970"/>
      <c r="D53" s="971">
        <f t="shared" si="3"/>
        <v>0</v>
      </c>
      <c r="E53" s="971">
        <f t="shared" si="4"/>
        <v>0</v>
      </c>
      <c r="F53" s="739">
        <f t="shared" si="4"/>
        <v>0</v>
      </c>
      <c r="G53" s="972">
        <f>F53*'Emission Factors'!C600</f>
        <v>0</v>
      </c>
    </row>
    <row r="54" spans="1:7">
      <c r="A54" s="969" t="s">
        <v>782</v>
      </c>
      <c r="B54" s="970"/>
      <c r="C54" s="970"/>
      <c r="D54" s="971">
        <f t="shared" si="3"/>
        <v>0</v>
      </c>
      <c r="E54" s="971">
        <f t="shared" si="4"/>
        <v>0</v>
      </c>
      <c r="F54" s="739">
        <f t="shared" si="4"/>
        <v>0</v>
      </c>
      <c r="G54" s="972">
        <f>F54*'Emission Factors'!C601</f>
        <v>0</v>
      </c>
    </row>
    <row r="55" spans="1:7">
      <c r="A55" s="705" t="s">
        <v>783</v>
      </c>
      <c r="B55" s="970"/>
      <c r="C55" s="970"/>
      <c r="D55" s="971">
        <f t="shared" si="3"/>
        <v>0</v>
      </c>
      <c r="E55" s="971">
        <f t="shared" si="4"/>
        <v>0</v>
      </c>
      <c r="F55" s="739">
        <f t="shared" si="4"/>
        <v>0</v>
      </c>
      <c r="G55" s="972">
        <f>F55*'Emission Factors'!C602</f>
        <v>0</v>
      </c>
    </row>
    <row r="56" spans="1:7">
      <c r="A56" s="705" t="s">
        <v>784</v>
      </c>
      <c r="B56" s="970"/>
      <c r="C56" s="970"/>
      <c r="D56" s="971">
        <f t="shared" si="3"/>
        <v>0</v>
      </c>
      <c r="E56" s="971">
        <f t="shared" si="4"/>
        <v>0</v>
      </c>
      <c r="F56" s="739">
        <f t="shared" si="4"/>
        <v>0</v>
      </c>
      <c r="G56" s="972">
        <f>F56*'Emission Factors'!C603</f>
        <v>0</v>
      </c>
    </row>
    <row r="57" spans="1:7">
      <c r="A57" s="969" t="s">
        <v>112</v>
      </c>
      <c r="B57" s="970"/>
      <c r="C57" s="970"/>
      <c r="D57" s="971">
        <f t="shared" si="3"/>
        <v>0</v>
      </c>
      <c r="E57" s="971">
        <f t="shared" si="4"/>
        <v>0</v>
      </c>
      <c r="F57" s="739">
        <f t="shared" si="4"/>
        <v>0</v>
      </c>
      <c r="G57" s="972">
        <f>F57*'Emission Factors'!C604</f>
        <v>0</v>
      </c>
    </row>
    <row r="58" spans="1:7">
      <c r="A58" s="969" t="s">
        <v>113</v>
      </c>
      <c r="B58" s="970"/>
      <c r="C58" s="970"/>
      <c r="D58" s="971">
        <f t="shared" si="3"/>
        <v>0</v>
      </c>
      <c r="E58" s="971">
        <f t="shared" si="4"/>
        <v>0</v>
      </c>
      <c r="F58" s="739">
        <f t="shared" si="4"/>
        <v>0</v>
      </c>
      <c r="G58" s="972">
        <f>F58*'Emission Factors'!C605</f>
        <v>0</v>
      </c>
    </row>
    <row r="59" spans="1:7">
      <c r="A59" s="969" t="s">
        <v>114</v>
      </c>
      <c r="B59" s="970"/>
      <c r="C59" s="970"/>
      <c r="D59" s="971">
        <f t="shared" ref="D59:D66" si="5">B59*C59</f>
        <v>0</v>
      </c>
      <c r="E59" s="971">
        <f t="shared" si="4"/>
        <v>0</v>
      </c>
      <c r="F59" s="739">
        <f t="shared" si="4"/>
        <v>0</v>
      </c>
      <c r="G59" s="972">
        <f>F59*'Emission Factors'!C606</f>
        <v>0</v>
      </c>
    </row>
    <row r="60" spans="1:7">
      <c r="A60" s="969" t="s">
        <v>115</v>
      </c>
      <c r="B60" s="970"/>
      <c r="C60" s="970"/>
      <c r="D60" s="971">
        <f t="shared" si="5"/>
        <v>0</v>
      </c>
      <c r="E60" s="971">
        <f t="shared" si="4"/>
        <v>0</v>
      </c>
      <c r="F60" s="739">
        <f t="shared" si="4"/>
        <v>0</v>
      </c>
      <c r="G60" s="972">
        <f>F60*'Emission Factors'!C607</f>
        <v>0</v>
      </c>
    </row>
    <row r="61" spans="1:7">
      <c r="A61" s="969" t="s">
        <v>116</v>
      </c>
      <c r="B61" s="970"/>
      <c r="C61" s="970"/>
      <c r="D61" s="971">
        <f t="shared" ref="D61" si="6">B61*C61</f>
        <v>0</v>
      </c>
      <c r="E61" s="971">
        <f t="shared" si="4"/>
        <v>0</v>
      </c>
      <c r="F61" s="739">
        <f t="shared" si="4"/>
        <v>0</v>
      </c>
      <c r="G61" s="972">
        <f>F61*'Emission Factors'!C608</f>
        <v>0</v>
      </c>
    </row>
    <row r="62" spans="1:7">
      <c r="A62" s="969" t="s">
        <v>117</v>
      </c>
      <c r="B62" s="970"/>
      <c r="C62" s="970"/>
      <c r="D62" s="971">
        <f t="shared" si="5"/>
        <v>0</v>
      </c>
      <c r="E62" s="971">
        <f t="shared" si="4"/>
        <v>0</v>
      </c>
      <c r="F62" s="739">
        <f t="shared" si="4"/>
        <v>0</v>
      </c>
      <c r="G62" s="972">
        <f>F62*'Emission Factors'!C609</f>
        <v>0</v>
      </c>
    </row>
    <row r="63" spans="1:7">
      <c r="A63" s="969" t="s">
        <v>118</v>
      </c>
      <c r="B63" s="970"/>
      <c r="C63" s="970"/>
      <c r="D63" s="971">
        <f t="shared" si="5"/>
        <v>0</v>
      </c>
      <c r="E63" s="971">
        <f t="shared" si="4"/>
        <v>0</v>
      </c>
      <c r="F63" s="739">
        <f t="shared" si="4"/>
        <v>0</v>
      </c>
      <c r="G63" s="972">
        <f>F63*'Emission Factors'!C610</f>
        <v>0</v>
      </c>
    </row>
    <row r="64" spans="1:7">
      <c r="A64" s="969" t="s">
        <v>119</v>
      </c>
      <c r="B64" s="970"/>
      <c r="C64" s="970"/>
      <c r="D64" s="971">
        <f t="shared" si="5"/>
        <v>0</v>
      </c>
      <c r="E64" s="971">
        <f t="shared" ref="E64:E66" si="7">D64*0.0625</f>
        <v>0</v>
      </c>
      <c r="F64" s="739">
        <f t="shared" ref="F64:F66" si="8">E64*0.000453592</f>
        <v>0</v>
      </c>
      <c r="G64" s="972">
        <f>F64*'Emission Factors'!C611</f>
        <v>0</v>
      </c>
    </row>
    <row r="65" spans="1:7">
      <c r="A65" s="969" t="s">
        <v>785</v>
      </c>
      <c r="B65" s="970"/>
      <c r="C65" s="970"/>
      <c r="D65" s="971">
        <f t="shared" si="5"/>
        <v>0</v>
      </c>
      <c r="E65" s="971">
        <f t="shared" si="7"/>
        <v>0</v>
      </c>
      <c r="F65" s="739">
        <f t="shared" si="8"/>
        <v>0</v>
      </c>
      <c r="G65" s="972">
        <f>F65*'Emission Factors'!C612</f>
        <v>0</v>
      </c>
    </row>
    <row r="66" spans="1:7" ht="16.5" thickBot="1">
      <c r="A66" s="969" t="s">
        <v>121</v>
      </c>
      <c r="B66" s="970"/>
      <c r="C66" s="970"/>
      <c r="D66" s="971">
        <f t="shared" si="5"/>
        <v>0</v>
      </c>
      <c r="E66" s="971">
        <f t="shared" si="7"/>
        <v>0</v>
      </c>
      <c r="F66" s="739">
        <f t="shared" si="8"/>
        <v>0</v>
      </c>
      <c r="G66" s="973">
        <f>F66*'Emission Factors'!C613</f>
        <v>0</v>
      </c>
    </row>
    <row r="67" spans="1:7">
      <c r="A67" s="769" t="s">
        <v>786</v>
      </c>
    </row>
    <row r="69" spans="1:7" ht="21">
      <c r="A69" s="974" t="s">
        <v>787</v>
      </c>
    </row>
    <row r="70" spans="1:7" ht="16.5" thickBot="1">
      <c r="A70" s="769" t="s">
        <v>788</v>
      </c>
    </row>
    <row r="71" spans="1:7" ht="31.5">
      <c r="A71" s="975"/>
      <c r="B71" s="1535" t="s">
        <v>789</v>
      </c>
      <c r="C71" s="820" t="s">
        <v>790</v>
      </c>
      <c r="D71" s="1531"/>
      <c r="E71" s="1531"/>
    </row>
    <row r="72" spans="1:7">
      <c r="A72" s="969" t="s">
        <v>792</v>
      </c>
      <c r="B72" s="1536"/>
      <c r="C72" s="976">
        <f>B72*'Emission Factors'!G623*0.001</f>
        <v>0</v>
      </c>
      <c r="D72" s="1532"/>
      <c r="E72" s="1532"/>
    </row>
    <row r="73" spans="1:7">
      <c r="A73" s="969" t="s">
        <v>793</v>
      </c>
      <c r="B73" s="1536"/>
      <c r="C73" s="976">
        <f>B73*'Emission Factors'!G624*0.001</f>
        <v>0</v>
      </c>
      <c r="D73" s="1533"/>
      <c r="E73" s="1533"/>
      <c r="F73" s="1438"/>
      <c r="G73" s="1438"/>
    </row>
    <row r="74" spans="1:7" ht="16.5" thickBot="1">
      <c r="A74" s="969" t="s">
        <v>791</v>
      </c>
      <c r="B74" s="1536"/>
      <c r="C74" s="976">
        <f>B74*'Emission Factors'!G625*0.001</f>
        <v>0</v>
      </c>
      <c r="D74" s="1533"/>
      <c r="E74" s="1534"/>
      <c r="F74" s="1438"/>
      <c r="G74" s="1438"/>
    </row>
    <row r="75" spans="1:7" ht="16.5" thickBot="1">
      <c r="B75" s="977" t="s">
        <v>424</v>
      </c>
      <c r="C75" s="1537">
        <f>SUM(C72:C74)</f>
        <v>0</v>
      </c>
      <c r="D75" s="1531"/>
      <c r="E75" s="1531"/>
    </row>
    <row r="76" spans="1:7" s="765" customFormat="1" ht="15"/>
    <row r="77" spans="1:7" s="744" customFormat="1" ht="37.5">
      <c r="A77" s="978" t="s">
        <v>58</v>
      </c>
      <c r="B77" s="979" t="s">
        <v>794</v>
      </c>
      <c r="C77" s="979" t="s">
        <v>795</v>
      </c>
      <c r="D77" s="978" t="s">
        <v>796</v>
      </c>
    </row>
    <row r="78" spans="1:7">
      <c r="A78" s="705" t="s">
        <v>797</v>
      </c>
      <c r="B78" s="980">
        <v>0.17599999999999999</v>
      </c>
      <c r="C78" s="980">
        <f t="shared" ref="C78:C92" si="9">B78*28.34952</f>
        <v>4.9895155199999994</v>
      </c>
      <c r="D78" s="705" t="s">
        <v>798</v>
      </c>
    </row>
    <row r="79" spans="1:7">
      <c r="A79" s="705" t="s">
        <v>799</v>
      </c>
      <c r="B79" s="980">
        <v>3.2000000000000001E-2</v>
      </c>
      <c r="C79" s="980">
        <f t="shared" si="9"/>
        <v>0.90718463999999999</v>
      </c>
      <c r="D79" s="705" t="s">
        <v>800</v>
      </c>
    </row>
    <row r="80" spans="1:7" ht="31.5">
      <c r="A80" s="705" t="s">
        <v>801</v>
      </c>
      <c r="B80" s="980">
        <v>0.24</v>
      </c>
      <c r="C80" s="980">
        <f t="shared" si="9"/>
        <v>6.8038847999999996</v>
      </c>
      <c r="D80" s="705" t="s">
        <v>802</v>
      </c>
    </row>
    <row r="81" spans="1:4">
      <c r="A81" s="705" t="s">
        <v>803</v>
      </c>
      <c r="B81" s="980">
        <v>0.16</v>
      </c>
      <c r="C81" s="980">
        <f t="shared" si="9"/>
        <v>4.5359232</v>
      </c>
      <c r="D81" s="705" t="s">
        <v>804</v>
      </c>
    </row>
    <row r="82" spans="1:4">
      <c r="A82" s="705" t="s">
        <v>781</v>
      </c>
      <c r="B82" s="980">
        <v>9.6</v>
      </c>
      <c r="C82" s="980">
        <f t="shared" si="9"/>
        <v>272.15539199999995</v>
      </c>
      <c r="D82" s="705" t="s">
        <v>805</v>
      </c>
    </row>
    <row r="83" spans="1:4">
      <c r="A83" s="705" t="s">
        <v>782</v>
      </c>
      <c r="B83" s="980">
        <v>12.8</v>
      </c>
      <c r="C83" s="980">
        <f t="shared" si="9"/>
        <v>362.87385599999999</v>
      </c>
      <c r="D83" s="705" t="s">
        <v>806</v>
      </c>
    </row>
    <row r="84" spans="1:4">
      <c r="A84" s="705" t="s">
        <v>783</v>
      </c>
      <c r="B84" s="980">
        <v>4</v>
      </c>
      <c r="C84" s="980">
        <f t="shared" si="9"/>
        <v>113.39807999999999</v>
      </c>
      <c r="D84" s="705" t="s">
        <v>807</v>
      </c>
    </row>
    <row r="85" spans="1:4">
      <c r="A85" s="705" t="s">
        <v>784</v>
      </c>
      <c r="B85" s="980">
        <v>7.2</v>
      </c>
      <c r="C85" s="980">
        <f t="shared" si="9"/>
        <v>204.116544</v>
      </c>
      <c r="D85" s="705" t="s">
        <v>808</v>
      </c>
    </row>
    <row r="86" spans="1:4">
      <c r="A86" s="705" t="s">
        <v>809</v>
      </c>
      <c r="B86" s="980">
        <v>8.5999999999999993E-2</v>
      </c>
      <c r="C86" s="980">
        <f t="shared" si="9"/>
        <v>2.4380587199999995</v>
      </c>
      <c r="D86" s="705" t="s">
        <v>810</v>
      </c>
    </row>
    <row r="87" spans="1:4">
      <c r="A87" s="705" t="s">
        <v>811</v>
      </c>
      <c r="B87" s="980">
        <v>227.2</v>
      </c>
      <c r="C87" s="980">
        <f t="shared" si="9"/>
        <v>6441.0109439999997</v>
      </c>
      <c r="D87" s="705" t="s">
        <v>812</v>
      </c>
    </row>
    <row r="88" spans="1:4">
      <c r="A88" s="705" t="s">
        <v>114</v>
      </c>
      <c r="B88" s="980">
        <v>16</v>
      </c>
      <c r="C88" s="980">
        <f t="shared" si="9"/>
        <v>453.59231999999997</v>
      </c>
      <c r="D88" s="705" t="s">
        <v>813</v>
      </c>
    </row>
    <row r="89" spans="1:4">
      <c r="A89" s="705" t="s">
        <v>814</v>
      </c>
      <c r="B89" s="980">
        <v>3.5008000000000004E-2</v>
      </c>
      <c r="C89" s="980">
        <f t="shared" si="9"/>
        <v>0.99245999616000002</v>
      </c>
      <c r="D89" s="705" t="s">
        <v>815</v>
      </c>
    </row>
    <row r="90" spans="1:4">
      <c r="A90" s="705" t="s">
        <v>113</v>
      </c>
      <c r="B90" s="980">
        <v>928</v>
      </c>
      <c r="C90" s="980">
        <f t="shared" si="9"/>
        <v>26308.35456</v>
      </c>
      <c r="D90" s="705" t="s">
        <v>816</v>
      </c>
    </row>
    <row r="91" spans="1:4" ht="31.5">
      <c r="A91" s="705" t="s">
        <v>817</v>
      </c>
      <c r="B91" s="980">
        <v>99.2</v>
      </c>
      <c r="C91" s="980">
        <f t="shared" si="9"/>
        <v>2812.2723839999999</v>
      </c>
      <c r="D91" s="705" t="s">
        <v>818</v>
      </c>
    </row>
    <row r="92" spans="1:4" ht="31.5">
      <c r="A92" s="705" t="s">
        <v>106</v>
      </c>
      <c r="B92" s="980">
        <v>19.600000000000001</v>
      </c>
      <c r="C92" s="980">
        <f t="shared" si="9"/>
        <v>555.65059199999996</v>
      </c>
      <c r="D92" s="705" t="s">
        <v>819</v>
      </c>
    </row>
    <row r="93" spans="1:4">
      <c r="A93" s="981" t="s">
        <v>820</v>
      </c>
    </row>
  </sheetData>
  <sheetProtection selectLockedCells="1"/>
  <mergeCells count="6">
    <mergeCell ref="C46:D46"/>
    <mergeCell ref="F1:J1"/>
    <mergeCell ref="A22:Q22"/>
    <mergeCell ref="A44:Q44"/>
    <mergeCell ref="B1:E1"/>
    <mergeCell ref="C24:D24"/>
  </mergeCells>
  <phoneticPr fontId="38" type="noConversion"/>
  <pageMargins left="0.7" right="0.7" top="0.75" bottom="0.75" header="0.3" footer="0.3"/>
  <pageSetup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9999"/>
  </sheetPr>
  <dimension ref="A1:AJ817"/>
  <sheetViews>
    <sheetView topLeftCell="A304" zoomScale="85" zoomScaleNormal="85" workbookViewId="0">
      <selection activeCell="E316" sqref="E316"/>
    </sheetView>
  </sheetViews>
  <sheetFormatPr baseColWidth="10" defaultColWidth="8.85546875" defaultRowHeight="15.75"/>
  <cols>
    <col min="1" max="1" width="39.85546875" style="694" customWidth="1"/>
    <col min="2" max="5" width="34" style="694" customWidth="1"/>
    <col min="6" max="6" width="45.85546875" style="694" bestFit="1" customWidth="1"/>
    <col min="7" max="7" width="44.140625" style="694" bestFit="1" customWidth="1"/>
    <col min="8" max="8" width="19.28515625" style="694" customWidth="1"/>
    <col min="9" max="9" width="19.140625" style="694" bestFit="1" customWidth="1"/>
    <col min="10" max="10" width="9.42578125" style="694" customWidth="1"/>
    <col min="11" max="11" width="15" style="694" customWidth="1"/>
    <col min="12" max="12" width="15.140625" style="694" customWidth="1"/>
    <col min="13" max="13" width="10.7109375" style="694" customWidth="1"/>
    <col min="14" max="14" width="11.7109375" style="694" customWidth="1"/>
    <col min="15" max="15" width="12.5703125" style="694" customWidth="1"/>
    <col min="16" max="16" width="10.5703125" style="694" customWidth="1"/>
    <col min="17" max="16384" width="8.85546875" style="694"/>
  </cols>
  <sheetData>
    <row r="1" spans="1:17" ht="109.5" customHeight="1" thickBot="1">
      <c r="A1" s="730" t="s">
        <v>821</v>
      </c>
      <c r="B1" s="2016" t="s">
        <v>822</v>
      </c>
      <c r="C1" s="2017"/>
      <c r="D1" s="2017"/>
      <c r="E1" s="2017"/>
      <c r="F1" s="2017"/>
      <c r="G1" s="2018"/>
      <c r="L1" s="2001" t="s">
        <v>414</v>
      </c>
      <c r="M1" s="2002"/>
      <c r="N1" s="2002"/>
      <c r="O1" s="2002"/>
      <c r="P1" s="2002"/>
      <c r="Q1" s="2003"/>
    </row>
    <row r="2" spans="1:17" ht="47.25">
      <c r="A2" s="674"/>
      <c r="B2" s="769"/>
      <c r="L2" s="733" t="s">
        <v>415</v>
      </c>
      <c r="M2" s="734"/>
      <c r="N2" s="735" t="s">
        <v>416</v>
      </c>
      <c r="O2" s="736"/>
      <c r="P2" s="735" t="s">
        <v>417</v>
      </c>
      <c r="Q2" s="737"/>
    </row>
    <row r="3" spans="1:17" ht="37.5">
      <c r="A3" s="912"/>
      <c r="B3" s="692" t="s">
        <v>553</v>
      </c>
    </row>
    <row r="4" spans="1:17" ht="37.5">
      <c r="A4" s="808" t="s">
        <v>823</v>
      </c>
      <c r="B4" s="982">
        <f>SUM(E27:E37)</f>
        <v>0</v>
      </c>
    </row>
    <row r="5" spans="1:17" ht="37.5">
      <c r="A5" s="808" t="s">
        <v>824</v>
      </c>
      <c r="B5" s="982">
        <f>SUM(E44:E53)</f>
        <v>0</v>
      </c>
    </row>
    <row r="6" spans="1:17" ht="18.75">
      <c r="A6" s="808" t="s">
        <v>825</v>
      </c>
      <c r="B6" s="982">
        <f>F89</f>
        <v>0</v>
      </c>
    </row>
    <row r="7" spans="1:17" ht="18.75">
      <c r="A7" s="808" t="s">
        <v>826</v>
      </c>
      <c r="B7" s="982">
        <f>C100</f>
        <v>0</v>
      </c>
    </row>
    <row r="8" spans="1:17" ht="18.75">
      <c r="A8" s="808" t="s">
        <v>827</v>
      </c>
      <c r="B8" s="982">
        <f>F119</f>
        <v>0</v>
      </c>
    </row>
    <row r="9" spans="1:17" ht="18.75">
      <c r="A9" s="808" t="s">
        <v>828</v>
      </c>
      <c r="B9" s="982">
        <f>D135</f>
        <v>0</v>
      </c>
    </row>
    <row r="10" spans="1:17" ht="18.75">
      <c r="A10" s="808" t="s">
        <v>829</v>
      </c>
      <c r="B10" s="982">
        <f>E150</f>
        <v>0</v>
      </c>
    </row>
    <row r="11" spans="1:17" ht="18.75">
      <c r="A11" s="808" t="s">
        <v>830</v>
      </c>
      <c r="B11" s="982">
        <f>C157+D171</f>
        <v>0</v>
      </c>
    </row>
    <row r="12" spans="1:17" ht="18.75">
      <c r="A12" s="808" t="s">
        <v>831</v>
      </c>
      <c r="B12" s="982">
        <f>SUM(E192,D212)</f>
        <v>0</v>
      </c>
    </row>
    <row r="13" spans="1:17" ht="18.75">
      <c r="A13" s="808" t="s">
        <v>832</v>
      </c>
      <c r="B13" s="982">
        <f>SUM(G219:G228,G231:G240,G243:G252,G255:G264,G267:G276,G279:G288)</f>
        <v>0</v>
      </c>
    </row>
    <row r="14" spans="1:17" ht="18.75">
      <c r="A14" s="808" t="s">
        <v>833</v>
      </c>
      <c r="B14" s="982">
        <f>H294</f>
        <v>0</v>
      </c>
    </row>
    <row r="15" spans="1:17" ht="37.5">
      <c r="A15" s="808" t="s">
        <v>834</v>
      </c>
      <c r="B15" s="982">
        <f>I396</f>
        <v>0</v>
      </c>
    </row>
    <row r="16" spans="1:17" ht="18.75">
      <c r="A16" s="808" t="s">
        <v>128</v>
      </c>
      <c r="B16" s="982">
        <f>SUM(F403:F410,F413:F420,F423:F430,F433:F440,F443:F450,F453:F460)</f>
        <v>0</v>
      </c>
    </row>
    <row r="17" spans="1:17" ht="37.5">
      <c r="A17" s="808" t="s">
        <v>835</v>
      </c>
      <c r="B17" s="982">
        <f>SUM(B471:C471)</f>
        <v>0</v>
      </c>
    </row>
    <row r="18" spans="1:17" ht="37.5">
      <c r="A18" s="808" t="s">
        <v>836</v>
      </c>
      <c r="B18" s="982">
        <f>SUM(B590:C590)</f>
        <v>0</v>
      </c>
    </row>
    <row r="19" spans="1:17" ht="18.75">
      <c r="A19" s="808" t="s">
        <v>148</v>
      </c>
      <c r="B19" s="982">
        <f>SUM(F321:F328,F331:F338,F341:F348,F351:F358,F361:F368,F371:F378)</f>
        <v>0</v>
      </c>
    </row>
    <row r="20" spans="1:17" ht="18.75">
      <c r="A20" s="808" t="s">
        <v>837</v>
      </c>
      <c r="B20" s="982">
        <f>C810</f>
        <v>0</v>
      </c>
    </row>
    <row r="21" spans="1:17" ht="18.75">
      <c r="A21" s="808" t="s">
        <v>838</v>
      </c>
      <c r="B21" s="982">
        <f>H810</f>
        <v>0</v>
      </c>
    </row>
    <row r="23" spans="1:17" s="740" customFormat="1" ht="36">
      <c r="A23" s="2009" t="s">
        <v>123</v>
      </c>
      <c r="B23" s="2010"/>
      <c r="C23" s="2010"/>
      <c r="D23" s="2010"/>
      <c r="E23" s="2010"/>
      <c r="F23" s="2010"/>
      <c r="G23" s="2010"/>
      <c r="H23" s="2010"/>
      <c r="I23" s="2010"/>
      <c r="J23" s="2010"/>
      <c r="K23" s="2010"/>
      <c r="L23" s="2010"/>
      <c r="M23" s="2010"/>
      <c r="N23" s="2010"/>
      <c r="O23" s="2010"/>
      <c r="P23" s="2010"/>
      <c r="Q23" s="2011"/>
    </row>
    <row r="24" spans="1:17">
      <c r="A24" s="674"/>
      <c r="B24" s="809"/>
      <c r="C24" s="809"/>
      <c r="D24" s="809"/>
      <c r="E24" s="809"/>
      <c r="F24" s="809"/>
      <c r="G24" s="809"/>
    </row>
    <row r="25" spans="1:17" s="743" customFormat="1" ht="24" thickBot="1">
      <c r="A25" s="675"/>
      <c r="B25" s="911"/>
      <c r="C25" s="1991" t="s">
        <v>427</v>
      </c>
      <c r="D25" s="1992"/>
      <c r="E25" s="911"/>
      <c r="F25" s="911"/>
      <c r="G25" s="911"/>
    </row>
    <row r="26" spans="1:17" ht="60.75" customHeight="1">
      <c r="A26" s="748" t="s">
        <v>428</v>
      </c>
      <c r="B26" s="748" t="s">
        <v>839</v>
      </c>
      <c r="C26" s="748" t="s">
        <v>840</v>
      </c>
      <c r="D26" s="796" t="s">
        <v>841</v>
      </c>
      <c r="E26" s="983" t="s">
        <v>767</v>
      </c>
      <c r="F26" s="984"/>
      <c r="G26" s="984"/>
    </row>
    <row r="27" spans="1:17" ht="14.45" customHeight="1">
      <c r="A27" s="963"/>
      <c r="B27" s="963"/>
      <c r="C27" s="985">
        <f>B27*1.10231</f>
        <v>0</v>
      </c>
      <c r="D27" s="986" t="str">
        <f>B62</f>
        <v xml:space="preserve"> </v>
      </c>
      <c r="E27" s="987" t="str">
        <f>IFERROR(C27*D27, " ")</f>
        <v xml:space="preserve"> </v>
      </c>
      <c r="F27" s="809"/>
      <c r="G27" s="809"/>
    </row>
    <row r="28" spans="1:17" ht="14.45" customHeight="1">
      <c r="A28" s="963"/>
      <c r="B28" s="963"/>
      <c r="C28" s="985">
        <f t="shared" ref="C28:C37" si="0">B28*1.10231</f>
        <v>0</v>
      </c>
      <c r="D28" s="986">
        <f>B63</f>
        <v>0</v>
      </c>
      <c r="E28" s="987">
        <f t="shared" ref="E28:E37" si="1">IFERROR(C28*D28, " ")</f>
        <v>0</v>
      </c>
      <c r="F28" s="809"/>
      <c r="G28" s="809"/>
    </row>
    <row r="29" spans="1:17" ht="14.45" customHeight="1">
      <c r="A29" s="963"/>
      <c r="B29" s="963"/>
      <c r="C29" s="985">
        <f t="shared" si="0"/>
        <v>0</v>
      </c>
      <c r="D29" s="986" t="str">
        <f>B62</f>
        <v xml:space="preserve"> </v>
      </c>
      <c r="E29" s="987" t="str">
        <f t="shared" si="1"/>
        <v xml:space="preserve"> </v>
      </c>
    </row>
    <row r="30" spans="1:17" ht="14.45" customHeight="1">
      <c r="A30" s="963"/>
      <c r="B30" s="963"/>
      <c r="C30" s="985">
        <f t="shared" si="0"/>
        <v>0</v>
      </c>
      <c r="D30" s="986" t="str">
        <f>B62</f>
        <v xml:space="preserve"> </v>
      </c>
      <c r="E30" s="987" t="str">
        <f t="shared" si="1"/>
        <v xml:space="preserve"> </v>
      </c>
    </row>
    <row r="31" spans="1:17" ht="14.45" customHeight="1">
      <c r="A31" s="963"/>
      <c r="B31" s="963"/>
      <c r="C31" s="985">
        <f t="shared" si="0"/>
        <v>0</v>
      </c>
      <c r="D31" s="986" t="str">
        <f>B62</f>
        <v xml:space="preserve"> </v>
      </c>
      <c r="E31" s="987" t="str">
        <f t="shared" si="1"/>
        <v xml:space="preserve"> </v>
      </c>
    </row>
    <row r="32" spans="1:17" ht="14.45" customHeight="1">
      <c r="A32" s="963"/>
      <c r="B32" s="963"/>
      <c r="C32" s="985">
        <f t="shared" si="0"/>
        <v>0</v>
      </c>
      <c r="D32" s="986" t="str">
        <f>B62</f>
        <v xml:space="preserve"> </v>
      </c>
      <c r="E32" s="987" t="str">
        <f t="shared" si="1"/>
        <v xml:space="preserve"> </v>
      </c>
    </row>
    <row r="33" spans="1:17" ht="14.45" customHeight="1">
      <c r="A33" s="963"/>
      <c r="B33" s="963"/>
      <c r="C33" s="985">
        <f t="shared" si="0"/>
        <v>0</v>
      </c>
      <c r="D33" s="986" t="str">
        <f>B62</f>
        <v xml:space="preserve"> </v>
      </c>
      <c r="E33" s="987" t="str">
        <f t="shared" si="1"/>
        <v xml:space="preserve"> </v>
      </c>
    </row>
    <row r="34" spans="1:17" ht="14.45" customHeight="1">
      <c r="A34" s="963"/>
      <c r="B34" s="963"/>
      <c r="C34" s="985">
        <f t="shared" si="0"/>
        <v>0</v>
      </c>
      <c r="D34" s="986" t="str">
        <f>B62</f>
        <v xml:space="preserve"> </v>
      </c>
      <c r="E34" s="987" t="str">
        <f t="shared" si="1"/>
        <v xml:space="preserve"> </v>
      </c>
    </row>
    <row r="35" spans="1:17" ht="14.45" customHeight="1">
      <c r="A35" s="963"/>
      <c r="B35" s="963"/>
      <c r="C35" s="985">
        <f t="shared" si="0"/>
        <v>0</v>
      </c>
      <c r="D35" s="986" t="str">
        <f>B62</f>
        <v xml:space="preserve"> </v>
      </c>
      <c r="E35" s="987" t="str">
        <f t="shared" si="1"/>
        <v xml:space="preserve"> </v>
      </c>
    </row>
    <row r="36" spans="1:17" ht="14.45" customHeight="1">
      <c r="A36" s="963"/>
      <c r="B36" s="963"/>
      <c r="C36" s="985">
        <f t="shared" si="0"/>
        <v>0</v>
      </c>
      <c r="D36" s="986" t="str">
        <f>B62</f>
        <v xml:space="preserve"> </v>
      </c>
      <c r="E36" s="987" t="str">
        <f t="shared" si="1"/>
        <v xml:space="preserve"> </v>
      </c>
    </row>
    <row r="37" spans="1:17" ht="14.45" customHeight="1" thickBot="1">
      <c r="A37" s="963"/>
      <c r="B37" s="963"/>
      <c r="C37" s="985">
        <f t="shared" si="0"/>
        <v>0</v>
      </c>
      <c r="D37" s="986" t="str">
        <f>B62</f>
        <v xml:space="preserve"> </v>
      </c>
      <c r="E37" s="988" t="str">
        <f t="shared" si="1"/>
        <v xml:space="preserve"> </v>
      </c>
    </row>
    <row r="40" spans="1:17" s="740" customFormat="1" ht="36">
      <c r="A40" s="2009" t="s">
        <v>124</v>
      </c>
      <c r="B40" s="2010"/>
      <c r="C40" s="2010"/>
      <c r="D40" s="2010"/>
      <c r="E40" s="2010"/>
      <c r="F40" s="2010"/>
      <c r="G40" s="2010"/>
      <c r="H40" s="2010"/>
      <c r="I40" s="2010"/>
      <c r="J40" s="2010"/>
      <c r="K40" s="2010"/>
      <c r="L40" s="2010"/>
      <c r="M40" s="2010"/>
      <c r="N40" s="2010"/>
      <c r="O40" s="2010"/>
      <c r="P40" s="2010"/>
      <c r="Q40" s="2011"/>
    </row>
    <row r="41" spans="1:17">
      <c r="A41" s="989"/>
      <c r="B41" s="990"/>
      <c r="C41" s="990"/>
      <c r="D41" s="990"/>
      <c r="E41" s="990"/>
      <c r="F41" s="991"/>
      <c r="G41" s="991"/>
      <c r="H41" s="991"/>
      <c r="I41" s="991"/>
      <c r="J41" s="991"/>
      <c r="K41" s="991"/>
      <c r="L41" s="991"/>
      <c r="M41" s="991"/>
      <c r="N41" s="991"/>
      <c r="O41" s="991"/>
      <c r="P41" s="991"/>
      <c r="Q41" s="991"/>
    </row>
    <row r="42" spans="1:17" s="743" customFormat="1" ht="24" thickBot="1">
      <c r="A42" s="992"/>
      <c r="B42" s="993"/>
      <c r="C42" s="1991" t="s">
        <v>427</v>
      </c>
      <c r="D42" s="1992"/>
      <c r="E42" s="994"/>
      <c r="F42" s="995"/>
      <c r="G42" s="995"/>
      <c r="H42" s="995"/>
      <c r="I42" s="995"/>
      <c r="J42" s="995"/>
      <c r="K42" s="995"/>
      <c r="L42" s="995"/>
      <c r="M42" s="995"/>
      <c r="N42" s="995"/>
      <c r="O42" s="995"/>
      <c r="P42" s="995"/>
      <c r="Q42" s="995"/>
    </row>
    <row r="43" spans="1:17" ht="44.1" customHeight="1">
      <c r="A43" s="748" t="s">
        <v>428</v>
      </c>
      <c r="B43" s="748" t="s">
        <v>842</v>
      </c>
      <c r="C43" s="748" t="s">
        <v>843</v>
      </c>
      <c r="D43" s="796" t="s">
        <v>844</v>
      </c>
      <c r="E43" s="983" t="s">
        <v>563</v>
      </c>
    </row>
    <row r="44" spans="1:17">
      <c r="A44" s="996"/>
      <c r="B44" s="997"/>
      <c r="C44" s="985">
        <f>SUM(B44/1000)</f>
        <v>0</v>
      </c>
      <c r="D44" s="998" t="str">
        <f>B67</f>
        <v xml:space="preserve"> </v>
      </c>
      <c r="E44" s="976" t="str">
        <f>IFERROR(SUM(C44*D44), " ")</f>
        <v xml:space="preserve"> </v>
      </c>
    </row>
    <row r="45" spans="1:17">
      <c r="A45" s="996"/>
      <c r="B45" s="997"/>
      <c r="C45" s="985">
        <f t="shared" ref="C45:C53" si="2">SUM(B45/1000)</f>
        <v>0</v>
      </c>
      <c r="D45" s="998" t="str">
        <f>B67</f>
        <v xml:space="preserve"> </v>
      </c>
      <c r="E45" s="976" t="str">
        <f t="shared" ref="E45:E53" si="3">IFERROR(SUM(C45*D45), " ")</f>
        <v xml:space="preserve"> </v>
      </c>
    </row>
    <row r="46" spans="1:17">
      <c r="A46" s="996"/>
      <c r="B46" s="997"/>
      <c r="C46" s="985">
        <f t="shared" si="2"/>
        <v>0</v>
      </c>
      <c r="D46" s="998" t="str">
        <f>B67</f>
        <v xml:space="preserve"> </v>
      </c>
      <c r="E46" s="976" t="str">
        <f t="shared" si="3"/>
        <v xml:space="preserve"> </v>
      </c>
    </row>
    <row r="47" spans="1:17">
      <c r="A47" s="996"/>
      <c r="B47" s="997"/>
      <c r="C47" s="985">
        <f t="shared" si="2"/>
        <v>0</v>
      </c>
      <c r="D47" s="998" t="str">
        <f>B67</f>
        <v xml:space="preserve"> </v>
      </c>
      <c r="E47" s="976" t="str">
        <f t="shared" si="3"/>
        <v xml:space="preserve"> </v>
      </c>
    </row>
    <row r="48" spans="1:17">
      <c r="A48" s="996"/>
      <c r="B48" s="997"/>
      <c r="C48" s="985">
        <f t="shared" si="2"/>
        <v>0</v>
      </c>
      <c r="D48" s="998" t="str">
        <f>B67</f>
        <v xml:space="preserve"> </v>
      </c>
      <c r="E48" s="976" t="str">
        <f t="shared" si="3"/>
        <v xml:space="preserve"> </v>
      </c>
    </row>
    <row r="49" spans="1:5">
      <c r="A49" s="996"/>
      <c r="B49" s="997"/>
      <c r="C49" s="985">
        <f t="shared" si="2"/>
        <v>0</v>
      </c>
      <c r="D49" s="998" t="str">
        <f>B67</f>
        <v xml:space="preserve"> </v>
      </c>
      <c r="E49" s="976" t="str">
        <f t="shared" si="3"/>
        <v xml:space="preserve"> </v>
      </c>
    </row>
    <row r="50" spans="1:5">
      <c r="A50" s="996"/>
      <c r="B50" s="997"/>
      <c r="C50" s="985">
        <f t="shared" si="2"/>
        <v>0</v>
      </c>
      <c r="D50" s="998" t="str">
        <f>B67</f>
        <v xml:space="preserve"> </v>
      </c>
      <c r="E50" s="976" t="str">
        <f t="shared" si="3"/>
        <v xml:space="preserve"> </v>
      </c>
    </row>
    <row r="51" spans="1:5">
      <c r="A51" s="996"/>
      <c r="B51" s="997"/>
      <c r="C51" s="985">
        <f t="shared" si="2"/>
        <v>0</v>
      </c>
      <c r="D51" s="998" t="str">
        <f>B67</f>
        <v xml:space="preserve"> </v>
      </c>
      <c r="E51" s="976" t="str">
        <f t="shared" si="3"/>
        <v xml:space="preserve"> </v>
      </c>
    </row>
    <row r="52" spans="1:5">
      <c r="A52" s="996"/>
      <c r="B52" s="997"/>
      <c r="C52" s="985">
        <f t="shared" si="2"/>
        <v>0</v>
      </c>
      <c r="D52" s="998" t="str">
        <f>B67</f>
        <v xml:space="preserve"> </v>
      </c>
      <c r="E52" s="976" t="str">
        <f t="shared" si="3"/>
        <v xml:space="preserve"> </v>
      </c>
    </row>
    <row r="53" spans="1:5" ht="16.5" thickBot="1">
      <c r="A53" s="996"/>
      <c r="B53" s="997"/>
      <c r="C53" s="985">
        <f t="shared" si="2"/>
        <v>0</v>
      </c>
      <c r="D53" s="998" t="str">
        <f>B67</f>
        <v xml:space="preserve"> </v>
      </c>
      <c r="E53" s="999" t="str">
        <f t="shared" si="3"/>
        <v xml:space="preserve"> </v>
      </c>
    </row>
    <row r="57" spans="1:5" ht="15" customHeight="1">
      <c r="A57" s="2090" t="s">
        <v>845</v>
      </c>
      <c r="B57" s="2091"/>
    </row>
    <row r="58" spans="1:5" ht="44.25" customHeight="1">
      <c r="A58" s="2092"/>
      <c r="B58" s="2093"/>
    </row>
    <row r="59" spans="1:5" s="743" customFormat="1" ht="18.75" customHeight="1">
      <c r="A59" s="2088" t="s">
        <v>123</v>
      </c>
      <c r="B59" s="2089"/>
    </row>
    <row r="60" spans="1:5" ht="31.5">
      <c r="A60" s="705" t="s">
        <v>846</v>
      </c>
      <c r="B60" s="895">
        <f>SUM(Mobile!B7+ 'Soil and Fertilizer'!B7)+(Electricity!B4*0.15)</f>
        <v>0</v>
      </c>
      <c r="C60" s="676" t="s">
        <v>847</v>
      </c>
    </row>
    <row r="61" spans="1:5" ht="31.5">
      <c r="A61" s="705" t="s">
        <v>848</v>
      </c>
      <c r="B61" s="895">
        <f>SUM('Vineyard - Biomass Photosynth'!C9:C18)</f>
        <v>0</v>
      </c>
      <c r="C61" s="676" t="s">
        <v>849</v>
      </c>
    </row>
    <row r="62" spans="1:5" ht="47.25">
      <c r="A62" s="705" t="s">
        <v>850</v>
      </c>
      <c r="B62" s="1000" t="str">
        <f>IFERROR(B60/B61," ")</f>
        <v xml:space="preserve"> </v>
      </c>
      <c r="C62" s="677"/>
    </row>
    <row r="63" spans="1:5" s="743" customFormat="1" ht="23.25">
      <c r="A63" s="2088" t="s">
        <v>124</v>
      </c>
      <c r="B63" s="2089"/>
      <c r="C63" s="678"/>
    </row>
    <row r="64" spans="1:5" ht="47.25">
      <c r="A64" s="705" t="s">
        <v>851</v>
      </c>
      <c r="B64" s="895">
        <f>SUM(Stationary!B9+'Onsite Waste'!B6)+(Electricity!B4*0.68)</f>
        <v>0</v>
      </c>
      <c r="C64" s="679" t="s">
        <v>852</v>
      </c>
    </row>
    <row r="65" spans="1:12" ht="31.5">
      <c r="A65" s="705" t="s">
        <v>853</v>
      </c>
      <c r="B65" s="895">
        <f>SUM(Winemaking!B8:B29)</f>
        <v>0</v>
      </c>
      <c r="C65" s="1001"/>
    </row>
    <row r="66" spans="1:12" ht="49.5" customHeight="1">
      <c r="A66" s="705" t="s">
        <v>854</v>
      </c>
      <c r="B66" s="895">
        <f>B65*0.001</f>
        <v>0</v>
      </c>
      <c r="C66" s="679" t="s">
        <v>855</v>
      </c>
    </row>
    <row r="67" spans="1:12" ht="31.5">
      <c r="A67" s="705" t="s">
        <v>856</v>
      </c>
      <c r="B67" s="1000" t="str">
        <f>IFERROR(SUM(B64/B66)+B62, " ")</f>
        <v xml:space="preserve"> </v>
      </c>
      <c r="C67" s="960"/>
    </row>
    <row r="70" spans="1:12" ht="31.5">
      <c r="A70" s="2028" t="s">
        <v>857</v>
      </c>
      <c r="B70" s="2029"/>
      <c r="C70" s="2029"/>
      <c r="D70" s="2029"/>
      <c r="E70" s="2029"/>
      <c r="F70" s="2029"/>
      <c r="G70" s="2029"/>
      <c r="H70" s="2029"/>
      <c r="I70" s="2029"/>
    </row>
    <row r="71" spans="1:12" s="765" customFormat="1" ht="19.5" thickBot="1">
      <c r="A71" s="788" t="s">
        <v>858</v>
      </c>
    </row>
    <row r="72" spans="1:12" ht="48" thickBot="1">
      <c r="A72" s="1002" t="s">
        <v>859</v>
      </c>
      <c r="B72" s="697" t="s">
        <v>860</v>
      </c>
      <c r="C72" s="705" t="s">
        <v>861</v>
      </c>
      <c r="D72" s="705" t="s">
        <v>862</v>
      </c>
      <c r="E72" s="796" t="s">
        <v>863</v>
      </c>
      <c r="F72" s="913" t="s">
        <v>864</v>
      </c>
    </row>
    <row r="73" spans="1:12" ht="15.6" customHeight="1">
      <c r="A73" s="1397"/>
      <c r="B73" s="1397"/>
      <c r="C73" s="1397"/>
      <c r="D73" s="1400"/>
      <c r="E73" s="1003"/>
      <c r="F73" s="976">
        <f>SUM($B$73)*D73*E73*0.001</f>
        <v>0</v>
      </c>
      <c r="H73" s="2077" t="s">
        <v>866</v>
      </c>
      <c r="I73" s="2078"/>
    </row>
    <row r="74" spans="1:12" ht="18.75">
      <c r="A74" s="1397"/>
      <c r="B74" s="1397"/>
      <c r="C74" s="1397"/>
      <c r="D74" s="1401"/>
      <c r="E74" s="1003"/>
      <c r="F74" s="976">
        <f>SUM($B$74)*D74*E74*0.001</f>
        <v>0</v>
      </c>
      <c r="H74" s="2079"/>
      <c r="I74" s="2080"/>
      <c r="L74" s="1437"/>
    </row>
    <row r="75" spans="1:12" ht="31.5">
      <c r="A75" s="1397"/>
      <c r="B75" s="1397"/>
      <c r="C75" s="1397"/>
      <c r="D75" s="1401"/>
      <c r="E75" s="1003"/>
      <c r="F75" s="976">
        <f>SUM($B$75)*D75*E75*0.001</f>
        <v>0</v>
      </c>
      <c r="H75" s="1004" t="s">
        <v>868</v>
      </c>
      <c r="I75" s="1005" t="s">
        <v>869</v>
      </c>
    </row>
    <row r="76" spans="1:12">
      <c r="A76" s="1397"/>
      <c r="B76" s="1397"/>
      <c r="C76" s="1397"/>
      <c r="D76" s="1400"/>
      <c r="E76" s="750"/>
      <c r="F76" s="976">
        <f>SUM($B$76)*D76*E76*0.001</f>
        <v>0</v>
      </c>
      <c r="H76" s="799" t="s">
        <v>870</v>
      </c>
      <c r="I76" s="750">
        <v>6.76</v>
      </c>
      <c r="J76" s="694" t="s">
        <v>871</v>
      </c>
    </row>
    <row r="77" spans="1:12" ht="15.75" customHeight="1">
      <c r="A77" s="1397"/>
      <c r="B77" s="1397"/>
      <c r="C77" s="1397"/>
      <c r="D77" s="1400"/>
      <c r="E77" s="750"/>
      <c r="F77" s="976">
        <f>SUM($B$77)*D77*E77*0.001</f>
        <v>0</v>
      </c>
      <c r="H77" s="799" t="s">
        <v>865</v>
      </c>
      <c r="I77" s="750">
        <f>'Emission Factors'!C1167</f>
        <v>0.19200999999999999</v>
      </c>
    </row>
    <row r="78" spans="1:12">
      <c r="A78" s="1402"/>
      <c r="B78" s="1402"/>
      <c r="C78" s="1402"/>
      <c r="D78" s="1403"/>
      <c r="E78" s="750"/>
      <c r="F78" s="976">
        <f>SUM($B$78)*D78*E78*0.001</f>
        <v>0</v>
      </c>
      <c r="H78" s="799" t="s">
        <v>867</v>
      </c>
      <c r="I78" s="750">
        <f>'Emission Factors'!C1168</f>
        <v>6.2092999999999998</v>
      </c>
    </row>
    <row r="79" spans="1:12">
      <c r="A79" s="1395"/>
      <c r="B79" s="1398"/>
      <c r="C79" s="782"/>
      <c r="D79" s="782"/>
      <c r="E79" s="1003"/>
      <c r="F79" s="976">
        <f t="shared" ref="F79" si="4">SUM($B$77)*D79*E79*0.001</f>
        <v>0</v>
      </c>
      <c r="H79" s="799" t="s">
        <v>872</v>
      </c>
      <c r="I79" s="750">
        <v>4.63</v>
      </c>
      <c r="J79" s="694" t="s">
        <v>871</v>
      </c>
      <c r="L79" s="799"/>
    </row>
    <row r="80" spans="1:12">
      <c r="A80" s="1396"/>
      <c r="B80" s="1399"/>
      <c r="C80" s="782"/>
      <c r="D80" s="782"/>
      <c r="E80" s="1003"/>
      <c r="F80" s="976">
        <f>SUM($B$77)*D80*E80*0.001</f>
        <v>0</v>
      </c>
      <c r="H80" s="799" t="s">
        <v>873</v>
      </c>
      <c r="I80" s="750">
        <v>8.5299999999999994</v>
      </c>
      <c r="J80" s="694" t="s">
        <v>871</v>
      </c>
      <c r="L80" s="799"/>
    </row>
    <row r="81" spans="1:20">
      <c r="A81" s="1394"/>
      <c r="B81" s="1397"/>
      <c r="C81" s="782"/>
      <c r="D81" s="782"/>
      <c r="E81" s="1003"/>
      <c r="F81" s="976">
        <f>SUM($B$81)*D81*E81*0.001</f>
        <v>0</v>
      </c>
      <c r="H81" s="799" t="s">
        <v>874</v>
      </c>
      <c r="I81" s="750">
        <f>'Emission Factors'!C1171</f>
        <v>1.1169</v>
      </c>
      <c r="L81" s="799"/>
    </row>
    <row r="82" spans="1:20">
      <c r="A82" s="1395"/>
      <c r="B82" s="1398"/>
      <c r="C82" s="782"/>
      <c r="D82" s="782"/>
      <c r="E82" s="1003"/>
      <c r="F82" s="976">
        <f t="shared" ref="F82:F83" si="5">SUM($B$81)*D82*E82*0.001</f>
        <v>0</v>
      </c>
      <c r="H82" s="799" t="s">
        <v>875</v>
      </c>
      <c r="I82" s="750">
        <f>'Emission Factors'!C1172</f>
        <v>1.4576</v>
      </c>
    </row>
    <row r="83" spans="1:20" ht="31.5">
      <c r="A83" s="1395"/>
      <c r="B83" s="1398"/>
      <c r="C83" s="782"/>
      <c r="D83" s="782"/>
      <c r="E83" s="1003"/>
      <c r="F83" s="976">
        <f t="shared" si="5"/>
        <v>0</v>
      </c>
      <c r="H83" s="799" t="s">
        <v>876</v>
      </c>
      <c r="I83" s="750">
        <v>9.83</v>
      </c>
      <c r="J83" s="694" t="s">
        <v>871</v>
      </c>
    </row>
    <row r="84" spans="1:20">
      <c r="A84" s="1396"/>
      <c r="B84" s="1399"/>
      <c r="C84" s="782"/>
      <c r="D84" s="782"/>
      <c r="E84" s="1003"/>
      <c r="F84" s="976">
        <f>SUM($B$81)*D84*E84*0.001</f>
        <v>0</v>
      </c>
      <c r="H84" s="799" t="s">
        <v>877</v>
      </c>
      <c r="I84" s="750">
        <v>11.7</v>
      </c>
      <c r="J84" s="694" t="s">
        <v>871</v>
      </c>
    </row>
    <row r="85" spans="1:20">
      <c r="A85" s="1394"/>
      <c r="B85" s="1397"/>
      <c r="C85" s="782"/>
      <c r="D85" s="782"/>
      <c r="E85" s="1003"/>
      <c r="F85" s="976">
        <f>SUM($B$85)*D85*E85*0.001</f>
        <v>0</v>
      </c>
      <c r="H85" s="809"/>
      <c r="I85" s="1006"/>
    </row>
    <row r="86" spans="1:20">
      <c r="A86" s="1395"/>
      <c r="B86" s="1398"/>
      <c r="C86" s="782"/>
      <c r="D86" s="782"/>
      <c r="E86" s="1003"/>
      <c r="F86" s="976">
        <f>SUM($B$85)*D86*E86*0.001</f>
        <v>0</v>
      </c>
    </row>
    <row r="87" spans="1:20">
      <c r="A87" s="1395"/>
      <c r="B87" s="1398"/>
      <c r="C87" s="782"/>
      <c r="D87" s="782"/>
      <c r="E87" s="1003"/>
      <c r="F87" s="976">
        <f t="shared" ref="F87" si="6">SUM($B$85)*D87*E87*0.001</f>
        <v>0</v>
      </c>
    </row>
    <row r="88" spans="1:20">
      <c r="A88" s="1396"/>
      <c r="B88" s="1399"/>
      <c r="C88" s="782"/>
      <c r="D88" s="782"/>
      <c r="E88" s="1003"/>
      <c r="F88" s="976">
        <f>SUM($B$85)*D88*E88*0.001</f>
        <v>0</v>
      </c>
    </row>
    <row r="89" spans="1:20" ht="16.5" thickBot="1">
      <c r="B89" s="1007"/>
      <c r="D89" s="920"/>
      <c r="E89" s="1008" t="s">
        <v>424</v>
      </c>
      <c r="F89" s="1009">
        <f>SUM(F73:F88)</f>
        <v>0</v>
      </c>
      <c r="L89" s="694" t="s">
        <v>878</v>
      </c>
    </row>
    <row r="90" spans="1:20">
      <c r="B90" s="1007"/>
      <c r="D90" s="920"/>
      <c r="E90" s="920"/>
      <c r="F90" s="920"/>
    </row>
    <row r="91" spans="1:20" ht="31.5">
      <c r="A91" s="2028" t="s">
        <v>879</v>
      </c>
      <c r="B91" s="2029"/>
      <c r="C91" s="2029"/>
      <c r="D91" s="2029"/>
      <c r="E91" s="2029"/>
      <c r="F91" s="2029"/>
      <c r="G91" s="2029"/>
      <c r="H91" s="2029"/>
      <c r="I91" s="2029"/>
      <c r="J91" s="2029"/>
      <c r="K91" s="2029"/>
      <c r="L91" s="2029"/>
      <c r="M91" s="2029"/>
      <c r="N91" s="2029"/>
      <c r="O91" s="2029"/>
      <c r="P91" s="2029"/>
      <c r="Q91" s="2029"/>
      <c r="R91" s="2029"/>
      <c r="S91" s="2029"/>
      <c r="T91" s="2029"/>
    </row>
    <row r="92" spans="1:20" ht="16.5" thickBot="1">
      <c r="B92" s="1007"/>
      <c r="D92" s="920"/>
      <c r="E92" s="920"/>
      <c r="F92" s="920"/>
    </row>
    <row r="93" spans="1:20" ht="31.5">
      <c r="A93" s="748" t="s">
        <v>868</v>
      </c>
      <c r="B93" s="796" t="s">
        <v>880</v>
      </c>
      <c r="C93" s="820" t="s">
        <v>864</v>
      </c>
      <c r="D93" s="920"/>
      <c r="E93" s="920"/>
      <c r="F93" s="2081" t="s">
        <v>881</v>
      </c>
      <c r="G93" s="2082"/>
    </row>
    <row r="94" spans="1:20" ht="31.5">
      <c r="A94" s="748" t="s">
        <v>882</v>
      </c>
      <c r="B94" s="1003"/>
      <c r="C94" s="987">
        <f>(B94*G95)*0.001</f>
        <v>0</v>
      </c>
      <c r="D94" s="920"/>
      <c r="E94" s="920"/>
      <c r="F94" s="1004" t="s">
        <v>868</v>
      </c>
      <c r="G94" s="1005" t="s">
        <v>883</v>
      </c>
    </row>
    <row r="95" spans="1:20" ht="78.75">
      <c r="A95" s="748" t="s">
        <v>884</v>
      </c>
      <c r="B95" s="1003"/>
      <c r="C95" s="987">
        <f>((B95*G96)+((B95*G97)/10))*0.001</f>
        <v>0</v>
      </c>
      <c r="D95" s="1449" t="s">
        <v>2404</v>
      </c>
      <c r="E95" s="920"/>
      <c r="F95" s="799" t="s">
        <v>882</v>
      </c>
      <c r="G95" s="750">
        <f>'Emission Factors'!C1179</f>
        <v>7.5773000000000001</v>
      </c>
    </row>
    <row r="96" spans="1:20" ht="15.6" customHeight="1">
      <c r="A96" s="748" t="s">
        <v>885</v>
      </c>
      <c r="B96" s="1003"/>
      <c r="C96" s="987">
        <f>(B96*$G$97)*0.001</f>
        <v>0</v>
      </c>
      <c r="D96" s="920"/>
      <c r="E96" s="920"/>
      <c r="F96" s="799" t="s">
        <v>884</v>
      </c>
      <c r="G96" s="750">
        <f>'Emission Factors'!C1181</f>
        <v>0.18580199999999999</v>
      </c>
      <c r="H96" s="2083" t="s">
        <v>886</v>
      </c>
      <c r="I96" s="2084"/>
    </row>
    <row r="97" spans="1:32">
      <c r="A97" s="748" t="s">
        <v>887</v>
      </c>
      <c r="B97" s="1003"/>
      <c r="C97" s="987">
        <f>(B97*$G$97)*0.001</f>
        <v>0</v>
      </c>
      <c r="D97" s="920"/>
      <c r="E97" s="920"/>
      <c r="F97" s="799" t="s">
        <v>888</v>
      </c>
      <c r="G97" s="750">
        <f>'Emission Factors'!C1182</f>
        <v>6.2092999999999998</v>
      </c>
      <c r="H97" s="2083"/>
      <c r="I97" s="2084"/>
    </row>
    <row r="98" spans="1:32">
      <c r="A98" s="748" t="s">
        <v>889</v>
      </c>
      <c r="B98" s="1003"/>
      <c r="C98" s="987">
        <f>0.001*(B98*G98)</f>
        <v>0</v>
      </c>
      <c r="D98" s="920"/>
      <c r="E98" s="920"/>
      <c r="F98" s="799" t="s">
        <v>889</v>
      </c>
      <c r="G98" s="750">
        <f>'Emission Factors'!C1183</f>
        <v>7.9320000000000002E-2</v>
      </c>
    </row>
    <row r="99" spans="1:32" ht="16.5" thickBot="1">
      <c r="A99" s="748" t="s">
        <v>890</v>
      </c>
      <c r="B99" s="1003"/>
      <c r="C99" s="987">
        <f>0.001*(B99*G99)</f>
        <v>0</v>
      </c>
      <c r="D99" s="920"/>
      <c r="E99" s="920"/>
      <c r="F99" s="1010" t="s">
        <v>890</v>
      </c>
      <c r="G99" s="1011" cm="1">
        <f t="array" ref="G99">Table2[kgCO2e/kg]</f>
        <v>3.2187451999999999E-3</v>
      </c>
    </row>
    <row r="100" spans="1:32" ht="16.5" thickBot="1">
      <c r="B100" s="1008" t="s">
        <v>424</v>
      </c>
      <c r="C100" s="1009">
        <f>SUM(C94:C99)</f>
        <v>0</v>
      </c>
      <c r="D100" s="920"/>
      <c r="E100" s="920"/>
      <c r="F100" s="920"/>
    </row>
    <row r="101" spans="1:32">
      <c r="B101" s="1007"/>
      <c r="D101" s="920"/>
      <c r="E101" s="920"/>
      <c r="F101" s="920"/>
    </row>
    <row r="102" spans="1:32">
      <c r="C102" s="960"/>
    </row>
    <row r="103" spans="1:32" s="2028" customFormat="1" ht="31.5">
      <c r="A103" s="2028" t="s">
        <v>827</v>
      </c>
      <c r="B103" s="2029"/>
      <c r="C103" s="2029"/>
      <c r="D103" s="2029"/>
      <c r="E103" s="2029"/>
      <c r="F103" s="2029"/>
      <c r="G103" s="2029"/>
      <c r="H103" s="2029"/>
      <c r="I103" s="2029"/>
      <c r="J103" s="2029"/>
      <c r="K103" s="2029"/>
      <c r="L103" s="2029"/>
      <c r="M103" s="2029"/>
      <c r="N103" s="2029"/>
      <c r="O103" s="2029"/>
      <c r="P103" s="2029"/>
      <c r="Q103" s="2029"/>
      <c r="R103" s="2029"/>
      <c r="S103" s="2029"/>
      <c r="T103" s="2029"/>
      <c r="U103" s="2029"/>
      <c r="V103" s="2029"/>
      <c r="W103" s="2029"/>
      <c r="X103" s="2029"/>
      <c r="Y103" s="2029"/>
      <c r="Z103" s="2029"/>
      <c r="AA103" s="2029"/>
      <c r="AB103" s="2029"/>
      <c r="AC103" s="2029"/>
      <c r="AD103" s="2029"/>
      <c r="AE103" s="2029"/>
      <c r="AF103" s="2029"/>
    </row>
    <row r="104" spans="1:32">
      <c r="A104" s="1012" t="s">
        <v>891</v>
      </c>
      <c r="C104" s="960"/>
      <c r="G104" s="765"/>
      <c r="H104" s="765"/>
    </row>
    <row r="105" spans="1:32" ht="16.5" thickBot="1">
      <c r="A105" s="1013"/>
      <c r="C105" s="960"/>
      <c r="G105" s="765"/>
      <c r="H105" s="765"/>
    </row>
    <row r="106" spans="1:32" ht="24" thickBot="1">
      <c r="B106" s="2085" t="s">
        <v>892</v>
      </c>
      <c r="C106" s="2086"/>
      <c r="D106" s="2086"/>
      <c r="E106" s="2087"/>
      <c r="G106" s="765"/>
    </row>
    <row r="107" spans="1:32" ht="31.5">
      <c r="A107" s="1014" t="s">
        <v>893</v>
      </c>
      <c r="B107" s="1015" t="s">
        <v>894</v>
      </c>
      <c r="C107" s="1016" t="s">
        <v>895</v>
      </c>
      <c r="D107" s="1016" t="s">
        <v>896</v>
      </c>
      <c r="E107" s="1017" t="s">
        <v>897</v>
      </c>
      <c r="F107" s="1018" t="s">
        <v>864</v>
      </c>
      <c r="G107" s="765"/>
    </row>
    <row r="108" spans="1:32">
      <c r="A108" s="932"/>
      <c r="B108" s="936"/>
      <c r="C108" s="963"/>
      <c r="D108" s="963"/>
      <c r="E108" s="1019"/>
      <c r="F108" s="1020">
        <f>0.001*IF(B108&gt;0,B108*'Emission Factors'!$B$1140,IF(C108&gt;0,C108*'Emission Factors'!$B$1141,IF(D108&gt;0,D108*'Emission Factors'!$B$1142,E108*'Emission Factors'!$B$1143)))</f>
        <v>0</v>
      </c>
      <c r="G108" s="765"/>
    </row>
    <row r="109" spans="1:32">
      <c r="A109" s="932"/>
      <c r="B109" s="936"/>
      <c r="C109" s="963"/>
      <c r="D109" s="963"/>
      <c r="E109" s="1019"/>
      <c r="F109" s="1020">
        <f>0.001*IF(B109&gt;0,B109*'Emission Factors'!$B$1140,IF(C109&gt;0,C109*'Emission Factors'!$B$1141,IF(D109&gt;0,D109*'Emission Factors'!$B$1142,E109*'Emission Factors'!$B$1143)))</f>
        <v>0</v>
      </c>
      <c r="G109" s="765"/>
    </row>
    <row r="110" spans="1:32">
      <c r="A110" s="932"/>
      <c r="B110" s="936"/>
      <c r="C110" s="963"/>
      <c r="D110" s="963"/>
      <c r="E110" s="1019"/>
      <c r="F110" s="1020">
        <f>0.001*IF(B110&gt;0,B110*'Emission Factors'!$B$1140,IF(C110&gt;0,C110*'Emission Factors'!$B$1141,IF(D110&gt;0,D110*'Emission Factors'!$B$1142,E110*'Emission Factors'!$B$1143)))</f>
        <v>0</v>
      </c>
      <c r="G110" s="765"/>
    </row>
    <row r="111" spans="1:32">
      <c r="A111" s="932"/>
      <c r="B111" s="936"/>
      <c r="C111" s="963"/>
      <c r="D111" s="963"/>
      <c r="E111" s="1019"/>
      <c r="F111" s="1020">
        <f>0.001*IF(B111&gt;0,B111*'Emission Factors'!$B$1140,IF(C111&gt;0,C111*'Emission Factors'!$B$1141,IF(D111&gt;0,D111*'Emission Factors'!$B$1142,E111*'Emission Factors'!$B$1143)))</f>
        <v>0</v>
      </c>
      <c r="G111" s="765"/>
    </row>
    <row r="112" spans="1:32">
      <c r="A112" s="932"/>
      <c r="B112" s="936"/>
      <c r="C112" s="963"/>
      <c r="D112" s="963"/>
      <c r="E112" s="1019"/>
      <c r="F112" s="1020">
        <f>0.001*IF(B112&gt;0,B112*'Emission Factors'!$B$1140,IF(C112&gt;0,C112*'Emission Factors'!$B$1141,IF(D112&gt;0,D112*'Emission Factors'!$B$1142,E112*'Emission Factors'!$B$1143)))</f>
        <v>0</v>
      </c>
      <c r="G112" s="765"/>
    </row>
    <row r="113" spans="1:35">
      <c r="A113" s="932"/>
      <c r="B113" s="936"/>
      <c r="C113" s="963"/>
      <c r="D113" s="963"/>
      <c r="E113" s="1019"/>
      <c r="F113" s="1020">
        <f>0.001*IF(B113&gt;0,B113*'Emission Factors'!$B$1140,IF(C113&gt;0,C113*'Emission Factors'!$B$1141,IF(D113&gt;0,D113*'Emission Factors'!$B$1142,E113*'Emission Factors'!$B$1143)))</f>
        <v>0</v>
      </c>
      <c r="G113" s="765"/>
    </row>
    <row r="114" spans="1:35">
      <c r="A114" s="932"/>
      <c r="B114" s="936"/>
      <c r="C114" s="963"/>
      <c r="D114" s="963"/>
      <c r="E114" s="1019"/>
      <c r="F114" s="1020">
        <f>0.001*IF(B114&gt;0,B114*'Emission Factors'!$B$1140,IF(C114&gt;0,C114*'Emission Factors'!$B$1141,IF(D114&gt;0,D114*'Emission Factors'!$B$1142,E114*'Emission Factors'!$B$1143)))</f>
        <v>0</v>
      </c>
      <c r="G114" s="765"/>
    </row>
    <row r="115" spans="1:35">
      <c r="A115" s="932"/>
      <c r="B115" s="936"/>
      <c r="C115" s="963"/>
      <c r="D115" s="963"/>
      <c r="E115" s="1019"/>
      <c r="F115" s="1020">
        <f>0.001*IF(B115&gt;0,B115*'Emission Factors'!$B$1140,IF(C115&gt;0,C115*'Emission Factors'!$B$1141,IF(D115&gt;0,D115*'Emission Factors'!$B$1142,E115*'Emission Factors'!$B$1143)))</f>
        <v>0</v>
      </c>
      <c r="G115" s="765"/>
    </row>
    <row r="116" spans="1:35">
      <c r="A116" s="932"/>
      <c r="B116" s="936"/>
      <c r="C116" s="963"/>
      <c r="D116" s="963"/>
      <c r="E116" s="1019"/>
      <c r="F116" s="1020">
        <f>0.001*IF(B116&gt;0,B116*'Emission Factors'!$B$1140,IF(C116&gt;0,C116*'Emission Factors'!$B$1141,IF(D116&gt;0,D116*'Emission Factors'!$B$1142,E116*'Emission Factors'!$B$1143)))</f>
        <v>0</v>
      </c>
      <c r="G116" s="765"/>
    </row>
    <row r="117" spans="1:35">
      <c r="A117" s="932"/>
      <c r="B117" s="936"/>
      <c r="C117" s="963"/>
      <c r="D117" s="963"/>
      <c r="E117" s="1019"/>
      <c r="F117" s="1020">
        <f>0.001*IF(B117&gt;0,B117*'Emission Factors'!$B$1140,IF(C117&gt;0,C117*'Emission Factors'!$B$1141,IF(D117&gt;0,D117*'Emission Factors'!$B$1142,E117*'Emission Factors'!$B$1143)))</f>
        <v>0</v>
      </c>
      <c r="G117" s="765"/>
    </row>
    <row r="118" spans="1:35" ht="16.5" thickBot="1">
      <c r="A118" s="932"/>
      <c r="B118" s="1021"/>
      <c r="C118" s="1022"/>
      <c r="D118" s="1022"/>
      <c r="E118" s="1023"/>
      <c r="F118" s="1020">
        <f>0.001*IF(B118&gt;0,B118*'Emission Factors'!$B$1140,IF(C118&gt;0,C118*'Emission Factors'!$B$1141,IF(D118&gt;0,D118*'Emission Factors'!$B$1142,E118*'Emission Factors'!$B$1143)))</f>
        <v>0</v>
      </c>
      <c r="G118" s="765"/>
    </row>
    <row r="119" spans="1:35" ht="16.5" thickBot="1">
      <c r="B119" s="920"/>
      <c r="C119" s="920"/>
      <c r="E119" s="1024" t="s">
        <v>424</v>
      </c>
      <c r="F119" s="1025">
        <f>SUM(F108:F118)</f>
        <v>0</v>
      </c>
      <c r="G119" s="765"/>
      <c r="H119" s="765"/>
    </row>
    <row r="120" spans="1:35" s="765" customFormat="1" ht="15"/>
    <row r="121" spans="1:35" s="2028" customFormat="1" ht="31.5">
      <c r="A121" s="2028" t="s">
        <v>828</v>
      </c>
      <c r="B121" s="2029"/>
      <c r="C121" s="2029"/>
      <c r="D121" s="2029"/>
      <c r="E121" s="2029"/>
      <c r="F121" s="2029"/>
      <c r="G121" s="2029"/>
      <c r="H121" s="2029"/>
      <c r="I121" s="2029"/>
      <c r="J121" s="2029"/>
      <c r="K121" s="2029"/>
      <c r="L121" s="2029"/>
      <c r="M121" s="2029"/>
      <c r="N121" s="2029"/>
      <c r="O121" s="2029"/>
      <c r="P121" s="2029"/>
      <c r="Q121" s="2029"/>
      <c r="R121" s="2029"/>
      <c r="S121" s="2029"/>
      <c r="T121" s="2029"/>
      <c r="U121" s="2029"/>
      <c r="V121" s="2029"/>
      <c r="W121" s="2029"/>
      <c r="X121" s="2029"/>
      <c r="Y121" s="2029"/>
      <c r="Z121" s="2029"/>
      <c r="AA121" s="2029"/>
      <c r="AB121" s="2029"/>
      <c r="AC121" s="2029"/>
      <c r="AD121" s="2029"/>
      <c r="AE121" s="2029"/>
      <c r="AF121" s="2029"/>
      <c r="AG121" s="2029"/>
      <c r="AH121" s="2029"/>
      <c r="AI121" s="2029"/>
    </row>
    <row r="122" spans="1:35" ht="16.5" thickBot="1">
      <c r="C122" s="960"/>
      <c r="G122" s="765"/>
      <c r="H122" s="765"/>
    </row>
    <row r="123" spans="1:35" s="1026" customFormat="1" ht="49.5" customHeight="1">
      <c r="A123" s="912" t="s">
        <v>428</v>
      </c>
      <c r="B123" s="912" t="s">
        <v>898</v>
      </c>
      <c r="C123" s="912" t="s">
        <v>899</v>
      </c>
      <c r="D123" s="820" t="s">
        <v>864</v>
      </c>
      <c r="H123" s="831"/>
      <c r="I123" s="831"/>
    </row>
    <row r="124" spans="1:35">
      <c r="A124" s="963"/>
      <c r="B124" s="963"/>
      <c r="C124" s="1027">
        <f>B124</f>
        <v>0</v>
      </c>
      <c r="D124" s="987">
        <f>C124*0.001*'Emission Factors'!$C$1135</f>
        <v>0</v>
      </c>
      <c r="H124" s="765"/>
      <c r="I124" s="765"/>
    </row>
    <row r="125" spans="1:35">
      <c r="A125" s="963"/>
      <c r="B125" s="963"/>
      <c r="C125" s="1027">
        <f t="shared" ref="C125:C134" si="7">B125</f>
        <v>0</v>
      </c>
      <c r="D125" s="987">
        <f>C125*0.001*'Emission Factors'!$C$1135</f>
        <v>0</v>
      </c>
      <c r="H125" s="765"/>
      <c r="I125" s="765"/>
    </row>
    <row r="126" spans="1:35">
      <c r="A126" s="963"/>
      <c r="B126" s="963"/>
      <c r="C126" s="1027">
        <f t="shared" si="7"/>
        <v>0</v>
      </c>
      <c r="D126" s="987">
        <f>C126*0.001*'Emission Factors'!$C$1135</f>
        <v>0</v>
      </c>
      <c r="H126" s="765"/>
      <c r="I126" s="765"/>
    </row>
    <row r="127" spans="1:35">
      <c r="A127" s="963"/>
      <c r="B127" s="963"/>
      <c r="C127" s="1027">
        <f t="shared" si="7"/>
        <v>0</v>
      </c>
      <c r="D127" s="987">
        <f>C127*0.001*'Emission Factors'!$C$1135</f>
        <v>0</v>
      </c>
      <c r="H127" s="765"/>
      <c r="I127" s="765"/>
    </row>
    <row r="128" spans="1:35">
      <c r="A128" s="963"/>
      <c r="B128" s="963"/>
      <c r="C128" s="1027">
        <f t="shared" si="7"/>
        <v>0</v>
      </c>
      <c r="D128" s="987">
        <f>C128*0.001*'Emission Factors'!$C$1135</f>
        <v>0</v>
      </c>
      <c r="H128" s="765"/>
      <c r="I128" s="765"/>
    </row>
    <row r="129" spans="1:36">
      <c r="A129" s="963"/>
      <c r="B129" s="963"/>
      <c r="C129" s="1027">
        <f t="shared" si="7"/>
        <v>0</v>
      </c>
      <c r="D129" s="987">
        <f>C129*0.001*'Emission Factors'!$C$1135</f>
        <v>0</v>
      </c>
      <c r="H129" s="765"/>
      <c r="I129" s="765"/>
    </row>
    <row r="130" spans="1:36">
      <c r="A130" s="963"/>
      <c r="B130" s="963"/>
      <c r="C130" s="1027">
        <f t="shared" si="7"/>
        <v>0</v>
      </c>
      <c r="D130" s="987">
        <f>C130*0.001*'Emission Factors'!$C$1135</f>
        <v>0</v>
      </c>
      <c r="H130" s="765"/>
      <c r="I130" s="765"/>
    </row>
    <row r="131" spans="1:36">
      <c r="A131" s="963"/>
      <c r="B131" s="963"/>
      <c r="C131" s="1027">
        <f t="shared" si="7"/>
        <v>0</v>
      </c>
      <c r="D131" s="987">
        <f>C131*0.001*'Emission Factors'!$C$1135</f>
        <v>0</v>
      </c>
      <c r="H131" s="765"/>
      <c r="I131" s="765"/>
    </row>
    <row r="132" spans="1:36">
      <c r="A132" s="963"/>
      <c r="B132" s="963"/>
      <c r="C132" s="1027">
        <f t="shared" si="7"/>
        <v>0</v>
      </c>
      <c r="D132" s="987">
        <f>C132*0.001*'Emission Factors'!$C$1135</f>
        <v>0</v>
      </c>
      <c r="H132" s="765"/>
      <c r="I132" s="765"/>
    </row>
    <row r="133" spans="1:36">
      <c r="A133" s="963"/>
      <c r="B133" s="963"/>
      <c r="C133" s="1027">
        <f t="shared" si="7"/>
        <v>0</v>
      </c>
      <c r="D133" s="987">
        <f>C133*0.001*'Emission Factors'!$C$1135</f>
        <v>0</v>
      </c>
      <c r="H133" s="765"/>
      <c r="I133" s="765"/>
    </row>
    <row r="134" spans="1:36">
      <c r="A134" s="963"/>
      <c r="B134" s="963"/>
      <c r="C134" s="1027">
        <f t="shared" si="7"/>
        <v>0</v>
      </c>
      <c r="D134" s="987">
        <f>C134*0.001*'Emission Factors'!$C$1135</f>
        <v>0</v>
      </c>
      <c r="H134" s="765"/>
      <c r="I134" s="765"/>
    </row>
    <row r="135" spans="1:36" ht="16.5" thickBot="1">
      <c r="C135" s="1008" t="s">
        <v>424</v>
      </c>
      <c r="D135" s="999">
        <f>SUM(D124:D134)</f>
        <v>0</v>
      </c>
      <c r="G135" s="765"/>
      <c r="H135" s="765"/>
    </row>
    <row r="136" spans="1:36">
      <c r="C136" s="960"/>
      <c r="G136" s="765"/>
      <c r="H136" s="765"/>
    </row>
    <row r="137" spans="1:36" s="2028" customFormat="1" ht="31.5">
      <c r="A137" s="2028" t="s">
        <v>829</v>
      </c>
      <c r="B137" s="2029"/>
      <c r="C137" s="2029"/>
      <c r="D137" s="2029"/>
      <c r="E137" s="2029"/>
      <c r="F137" s="2029"/>
      <c r="G137" s="2029"/>
      <c r="H137" s="2029"/>
      <c r="I137" s="2029"/>
      <c r="J137" s="2029"/>
      <c r="K137" s="2029"/>
      <c r="L137" s="2029"/>
      <c r="M137" s="2029"/>
      <c r="N137" s="2029"/>
      <c r="O137" s="2029"/>
      <c r="P137" s="2029"/>
      <c r="Q137" s="2029"/>
      <c r="R137" s="2029"/>
      <c r="S137" s="2029"/>
      <c r="T137" s="2029"/>
      <c r="U137" s="2029"/>
      <c r="V137" s="2029"/>
      <c r="W137" s="2029"/>
      <c r="X137" s="2029"/>
      <c r="Y137" s="2029"/>
      <c r="Z137" s="2029"/>
      <c r="AA137" s="2029"/>
      <c r="AB137" s="2029"/>
      <c r="AC137" s="2029"/>
      <c r="AD137" s="2029"/>
      <c r="AE137" s="2029"/>
      <c r="AF137" s="2029"/>
      <c r="AG137" s="2029"/>
      <c r="AH137" s="2029"/>
      <c r="AI137" s="2029"/>
      <c r="AJ137" s="2029"/>
    </row>
    <row r="138" spans="1:36" ht="16.5" thickBot="1">
      <c r="C138" s="960"/>
      <c r="G138" s="765"/>
      <c r="H138" s="765"/>
    </row>
    <row r="139" spans="1:36" ht="31.5">
      <c r="A139" s="912" t="s">
        <v>900</v>
      </c>
      <c r="B139" s="798" t="s">
        <v>901</v>
      </c>
      <c r="C139" s="798" t="s">
        <v>902</v>
      </c>
      <c r="D139" s="798" t="s">
        <v>903</v>
      </c>
      <c r="E139" s="820" t="s">
        <v>864</v>
      </c>
      <c r="F139" s="765"/>
      <c r="G139" s="765"/>
    </row>
    <row r="140" spans="1:36">
      <c r="A140" s="1028" t="s">
        <v>904</v>
      </c>
      <c r="B140" s="963"/>
      <c r="C140" s="1029">
        <v>1.1000000000000001</v>
      </c>
      <c r="D140" s="1027">
        <f>(B140*C140)*0.001</f>
        <v>0</v>
      </c>
      <c r="E140" s="987">
        <f>D140*'Emission Factors'!C1198</f>
        <v>0</v>
      </c>
      <c r="F140" s="765"/>
      <c r="G140" s="765"/>
    </row>
    <row r="141" spans="1:36">
      <c r="A141" s="1028" t="s">
        <v>905</v>
      </c>
      <c r="B141" s="963"/>
      <c r="C141" s="1029">
        <v>1.1000000000000001</v>
      </c>
      <c r="D141" s="1027">
        <f t="shared" ref="D141:D149" si="8">(B141*C141)*0.001</f>
        <v>0</v>
      </c>
      <c r="E141" s="987">
        <f>D141*'Emission Factors'!C1199</f>
        <v>0</v>
      </c>
      <c r="F141" s="765"/>
    </row>
    <row r="142" spans="1:36">
      <c r="A142" s="1028" t="s">
        <v>906</v>
      </c>
      <c r="B142" s="963"/>
      <c r="C142" s="1029">
        <v>0.9</v>
      </c>
      <c r="D142" s="1027">
        <f t="shared" si="8"/>
        <v>0</v>
      </c>
      <c r="E142" s="987">
        <f>D142*'Emission Factors'!C1200</f>
        <v>0</v>
      </c>
      <c r="F142" s="765"/>
    </row>
    <row r="143" spans="1:36">
      <c r="A143" s="1028" t="s">
        <v>907</v>
      </c>
      <c r="B143" s="963"/>
      <c r="C143" s="1029">
        <v>1.38</v>
      </c>
      <c r="D143" s="1027">
        <f t="shared" si="8"/>
        <v>0</v>
      </c>
      <c r="E143" s="987">
        <f>D143*'Emission Factors'!C1201</f>
        <v>0</v>
      </c>
      <c r="F143" s="765"/>
    </row>
    <row r="144" spans="1:36">
      <c r="A144" s="1028" t="s">
        <v>908</v>
      </c>
      <c r="B144" s="963"/>
      <c r="C144" s="1029">
        <v>7.0000000000000007E-2</v>
      </c>
      <c r="D144" s="1027">
        <f t="shared" si="8"/>
        <v>0</v>
      </c>
      <c r="E144" s="987">
        <f>D144*'Emission Factors'!C1202</f>
        <v>0</v>
      </c>
      <c r="F144" s="765"/>
    </row>
    <row r="145" spans="1:35">
      <c r="A145" s="1028" t="s">
        <v>909</v>
      </c>
      <c r="B145" s="963"/>
      <c r="C145" s="1029">
        <v>2.2999999999999998</v>
      </c>
      <c r="D145" s="1027">
        <f t="shared" si="8"/>
        <v>0</v>
      </c>
      <c r="E145" s="987">
        <f>D145*'Emission Factors'!C1203</f>
        <v>0</v>
      </c>
      <c r="F145" s="765"/>
    </row>
    <row r="146" spans="1:35">
      <c r="A146" s="1028" t="s">
        <v>910</v>
      </c>
      <c r="B146" s="963"/>
      <c r="C146" s="1029">
        <v>0.14000000000000001</v>
      </c>
      <c r="D146" s="1027">
        <f t="shared" si="8"/>
        <v>0</v>
      </c>
      <c r="E146" s="987">
        <f>D146*'Emission Factors'!C1204</f>
        <v>0</v>
      </c>
      <c r="F146" s="765"/>
    </row>
    <row r="147" spans="1:35">
      <c r="A147" s="1028" t="s">
        <v>911</v>
      </c>
      <c r="B147" s="963"/>
      <c r="C147" s="1029">
        <v>0.97</v>
      </c>
      <c r="D147" s="1027">
        <f t="shared" si="8"/>
        <v>0</v>
      </c>
      <c r="E147" s="987">
        <f>D147*'Emission Factors'!C1205</f>
        <v>0</v>
      </c>
      <c r="F147" s="765"/>
    </row>
    <row r="148" spans="1:35">
      <c r="A148" s="1028" t="s">
        <v>912</v>
      </c>
      <c r="B148" s="963"/>
      <c r="C148" s="1029">
        <v>0.6</v>
      </c>
      <c r="D148" s="1027">
        <f t="shared" si="8"/>
        <v>0</v>
      </c>
      <c r="E148" s="987">
        <f>D148*'Emission Factors'!C1207</f>
        <v>0</v>
      </c>
      <c r="F148" s="765"/>
    </row>
    <row r="149" spans="1:35">
      <c r="A149" s="1028" t="s">
        <v>913</v>
      </c>
      <c r="B149" s="963"/>
      <c r="C149" s="1029">
        <v>1</v>
      </c>
      <c r="D149" s="1027">
        <f t="shared" si="8"/>
        <v>0</v>
      </c>
      <c r="E149" s="987">
        <f>D149*'Emission Factors'!C1208</f>
        <v>0</v>
      </c>
      <c r="F149" s="765"/>
    </row>
    <row r="150" spans="1:35" ht="16.5" thickBot="1">
      <c r="C150" s="960"/>
      <c r="D150" s="1008" t="s">
        <v>424</v>
      </c>
      <c r="E150" s="999">
        <f>SUM(E140:E149)</f>
        <v>0</v>
      </c>
      <c r="F150" s="765"/>
    </row>
    <row r="151" spans="1:35">
      <c r="C151" s="960"/>
      <c r="G151" s="765"/>
      <c r="H151" s="765"/>
    </row>
    <row r="152" spans="1:35" s="2028" customFormat="1" ht="31.5">
      <c r="A152" s="2028" t="s">
        <v>830</v>
      </c>
      <c r="B152" s="2029"/>
      <c r="C152" s="2029"/>
      <c r="D152" s="2029"/>
      <c r="E152" s="2029"/>
      <c r="F152" s="2029"/>
      <c r="G152" s="2029"/>
      <c r="H152" s="2029"/>
      <c r="I152" s="2029"/>
      <c r="J152" s="2029"/>
      <c r="K152" s="2029"/>
      <c r="L152" s="2029"/>
      <c r="M152" s="2029"/>
      <c r="N152" s="2029"/>
      <c r="O152" s="2029"/>
      <c r="P152" s="2029"/>
      <c r="Q152" s="2029"/>
      <c r="R152" s="2029"/>
      <c r="S152" s="2029"/>
      <c r="T152" s="2029"/>
      <c r="U152" s="2029"/>
      <c r="V152" s="2029"/>
      <c r="W152" s="2029"/>
      <c r="X152" s="2029"/>
      <c r="Y152" s="2029"/>
      <c r="Z152" s="2029"/>
      <c r="AA152" s="2029"/>
      <c r="AB152" s="2029"/>
      <c r="AC152" s="2029"/>
      <c r="AD152" s="2029"/>
      <c r="AE152" s="2029"/>
      <c r="AF152" s="2029"/>
      <c r="AG152" s="2029"/>
      <c r="AH152" s="2029"/>
      <c r="AI152" s="2029"/>
    </row>
    <row r="153" spans="1:35" ht="16.5" thickBot="1">
      <c r="C153" s="960"/>
      <c r="G153" s="765"/>
      <c r="H153" s="765"/>
    </row>
    <row r="154" spans="1:35" ht="31.5">
      <c r="A154" s="748" t="s">
        <v>914</v>
      </c>
      <c r="B154" s="748" t="s">
        <v>915</v>
      </c>
      <c r="C154" s="820" t="s">
        <v>864</v>
      </c>
      <c r="F154" s="765"/>
      <c r="G154" s="765"/>
    </row>
    <row r="155" spans="1:35">
      <c r="A155" s="768" t="s">
        <v>916</v>
      </c>
      <c r="B155" s="768"/>
      <c r="C155" s="976">
        <f>IFERROR(SUM(B155*'Emission Factors'!C1192), " ")</f>
        <v>0</v>
      </c>
      <c r="F155" s="765"/>
      <c r="G155" s="765"/>
    </row>
    <row r="156" spans="1:35">
      <c r="A156" s="768" t="s">
        <v>917</v>
      </c>
      <c r="B156" s="768"/>
      <c r="C156" s="976">
        <f>IFERROR(SUM(B156*'Emission Factors'!C1193), " ")</f>
        <v>0</v>
      </c>
      <c r="F156" s="765"/>
      <c r="G156" s="765"/>
    </row>
    <row r="157" spans="1:35" ht="16.5" thickBot="1">
      <c r="B157" s="1008" t="s">
        <v>424</v>
      </c>
      <c r="C157" s="999">
        <f>SUM(C155:C156)</f>
        <v>0</v>
      </c>
      <c r="F157" s="765"/>
      <c r="G157" s="765"/>
    </row>
    <row r="158" spans="1:35" ht="16.5" thickBot="1">
      <c r="C158" s="960"/>
      <c r="G158" s="765"/>
      <c r="H158" s="765"/>
    </row>
    <row r="159" spans="1:35" ht="21.75" thickBot="1">
      <c r="A159" s="1030" t="s">
        <v>918</v>
      </c>
      <c r="B159" s="2101" t="s">
        <v>919</v>
      </c>
      <c r="C159" s="2025"/>
      <c r="E159" s="960"/>
      <c r="I159" s="765"/>
      <c r="J159" s="765"/>
    </row>
    <row r="160" spans="1:35" ht="31.5">
      <c r="A160" s="737" t="s">
        <v>920</v>
      </c>
      <c r="B160" s="748" t="s">
        <v>921</v>
      </c>
      <c r="C160" s="1031" t="s">
        <v>922</v>
      </c>
      <c r="D160" s="820" t="s">
        <v>864</v>
      </c>
      <c r="G160" s="765"/>
      <c r="H160" s="765"/>
    </row>
    <row r="161" spans="1:35">
      <c r="A161" s="768"/>
      <c r="B161" s="768"/>
      <c r="C161" s="768"/>
      <c r="D161" s="976">
        <f t="shared" ref="D161:D170" si="9">IFERROR(SUM(B161*C161), " ")</f>
        <v>0</v>
      </c>
      <c r="G161" s="765"/>
      <c r="H161" s="765"/>
    </row>
    <row r="162" spans="1:35">
      <c r="A162" s="768"/>
      <c r="B162" s="768"/>
      <c r="C162" s="768"/>
      <c r="D162" s="976">
        <f t="shared" si="9"/>
        <v>0</v>
      </c>
      <c r="G162" s="765"/>
      <c r="H162" s="765"/>
    </row>
    <row r="163" spans="1:35">
      <c r="A163" s="768"/>
      <c r="B163" s="768"/>
      <c r="C163" s="768"/>
      <c r="D163" s="976">
        <f t="shared" si="9"/>
        <v>0</v>
      </c>
      <c r="G163" s="765"/>
      <c r="H163" s="765"/>
    </row>
    <row r="164" spans="1:35">
      <c r="A164" s="768"/>
      <c r="B164" s="768"/>
      <c r="C164" s="768"/>
      <c r="D164" s="976">
        <f t="shared" si="9"/>
        <v>0</v>
      </c>
      <c r="G164" s="765"/>
      <c r="H164" s="765"/>
    </row>
    <row r="165" spans="1:35">
      <c r="A165" s="768"/>
      <c r="B165" s="768"/>
      <c r="C165" s="768"/>
      <c r="D165" s="976">
        <f t="shared" si="9"/>
        <v>0</v>
      </c>
      <c r="G165" s="765"/>
      <c r="H165" s="765"/>
    </row>
    <row r="166" spans="1:35">
      <c r="A166" s="768"/>
      <c r="B166" s="768"/>
      <c r="C166" s="768"/>
      <c r="D166" s="976">
        <f t="shared" si="9"/>
        <v>0</v>
      </c>
      <c r="G166" s="765"/>
      <c r="H166" s="765"/>
    </row>
    <row r="167" spans="1:35">
      <c r="A167" s="768"/>
      <c r="B167" s="768"/>
      <c r="C167" s="768"/>
      <c r="D167" s="976">
        <f t="shared" si="9"/>
        <v>0</v>
      </c>
      <c r="G167" s="765"/>
      <c r="H167" s="765"/>
    </row>
    <row r="168" spans="1:35">
      <c r="A168" s="768"/>
      <c r="B168" s="768"/>
      <c r="C168" s="768"/>
      <c r="D168" s="976">
        <f t="shared" si="9"/>
        <v>0</v>
      </c>
      <c r="G168" s="765"/>
      <c r="H168" s="765"/>
    </row>
    <row r="169" spans="1:35">
      <c r="A169" s="768"/>
      <c r="B169" s="768"/>
      <c r="C169" s="768"/>
      <c r="D169" s="976">
        <f t="shared" si="9"/>
        <v>0</v>
      </c>
      <c r="G169" s="765"/>
      <c r="H169" s="765"/>
    </row>
    <row r="170" spans="1:35">
      <c r="A170" s="768"/>
      <c r="B170" s="768"/>
      <c r="C170" s="768"/>
      <c r="D170" s="976">
        <f t="shared" si="9"/>
        <v>0</v>
      </c>
      <c r="G170" s="765"/>
      <c r="H170" s="765"/>
    </row>
    <row r="171" spans="1:35" ht="16.5" thickBot="1">
      <c r="C171" s="1008" t="s">
        <v>424</v>
      </c>
      <c r="D171" s="999">
        <f>SUM(D161:D170)</f>
        <v>0</v>
      </c>
      <c r="G171" s="765"/>
      <c r="H171" s="765"/>
    </row>
    <row r="172" spans="1:35">
      <c r="G172" s="765"/>
      <c r="H172" s="765"/>
    </row>
    <row r="173" spans="1:35">
      <c r="C173" s="920"/>
      <c r="D173" s="920"/>
      <c r="G173" s="765"/>
      <c r="H173" s="765"/>
    </row>
    <row r="174" spans="1:35" s="2028" customFormat="1" ht="31.5">
      <c r="A174" s="2028" t="s">
        <v>831</v>
      </c>
      <c r="B174" s="2029"/>
      <c r="C174" s="2029"/>
      <c r="D174" s="2029"/>
      <c r="E174" s="2029"/>
      <c r="F174" s="2029"/>
      <c r="G174" s="2029"/>
      <c r="H174" s="2029"/>
      <c r="I174" s="2029"/>
      <c r="J174" s="2029"/>
      <c r="K174" s="2029"/>
      <c r="L174" s="2029"/>
      <c r="M174" s="2029"/>
      <c r="N174" s="2029"/>
      <c r="O174" s="2029"/>
      <c r="P174" s="2029"/>
      <c r="Q174" s="2029"/>
      <c r="R174" s="2029"/>
      <c r="S174" s="2029"/>
      <c r="T174" s="2029"/>
      <c r="U174" s="2029"/>
      <c r="V174" s="2029"/>
      <c r="W174" s="2029"/>
      <c r="X174" s="2029"/>
      <c r="Y174" s="2029"/>
      <c r="Z174" s="2029"/>
      <c r="AA174" s="2029"/>
      <c r="AB174" s="2029"/>
      <c r="AC174" s="2029"/>
      <c r="AD174" s="2029"/>
      <c r="AE174" s="2029"/>
      <c r="AF174" s="2029"/>
      <c r="AG174" s="2029"/>
      <c r="AH174" s="2029"/>
      <c r="AI174" s="2029"/>
    </row>
    <row r="175" spans="1:35" ht="16.5" thickBot="1">
      <c r="C175" s="960"/>
      <c r="G175" s="765"/>
      <c r="H175" s="765"/>
    </row>
    <row r="176" spans="1:35" ht="31.5">
      <c r="A176" s="748" t="s">
        <v>923</v>
      </c>
      <c r="B176" s="748" t="s">
        <v>924</v>
      </c>
      <c r="C176" s="748" t="s">
        <v>925</v>
      </c>
      <c r="D176" s="748" t="s">
        <v>926</v>
      </c>
      <c r="E176" s="820" t="s">
        <v>864</v>
      </c>
      <c r="H176" s="765"/>
      <c r="I176" s="765"/>
    </row>
    <row r="177" spans="1:11">
      <c r="A177" s="705" t="s">
        <v>927</v>
      </c>
      <c r="B177" s="768"/>
      <c r="C177" s="705">
        <v>0.99819999999999998</v>
      </c>
      <c r="D177" s="1032">
        <f>B177*C177</f>
        <v>0</v>
      </c>
      <c r="E177" s="976">
        <f>('Emission Factors'!C1213*D177)*0.001</f>
        <v>0</v>
      </c>
      <c r="H177" s="765"/>
      <c r="I177" s="765"/>
    </row>
    <row r="178" spans="1:11">
      <c r="A178" s="705" t="s">
        <v>928</v>
      </c>
      <c r="B178" s="768"/>
      <c r="C178" s="705">
        <v>0.898698</v>
      </c>
      <c r="D178" s="1032">
        <f t="shared" ref="D178:D191" si="10">B178*C178</f>
        <v>0</v>
      </c>
      <c r="E178" s="976">
        <f>('Emission Factors'!C1214*D178)*0.001</f>
        <v>0</v>
      </c>
      <c r="H178" s="765"/>
      <c r="I178" s="765"/>
    </row>
    <row r="179" spans="1:11">
      <c r="A179" s="705" t="s">
        <v>929</v>
      </c>
      <c r="B179" s="768"/>
      <c r="C179" s="705">
        <v>1.53</v>
      </c>
      <c r="D179" s="1032">
        <f t="shared" si="10"/>
        <v>0</v>
      </c>
      <c r="E179" s="976">
        <f>('Emission Factors'!C1215*D179)*0.001</f>
        <v>0</v>
      </c>
      <c r="H179" s="765"/>
      <c r="I179" s="765"/>
    </row>
    <row r="180" spans="1:11">
      <c r="A180" s="705" t="s">
        <v>930</v>
      </c>
      <c r="B180" s="768"/>
      <c r="C180" s="705">
        <v>1.62</v>
      </c>
      <c r="D180" s="1032">
        <f t="shared" si="10"/>
        <v>0</v>
      </c>
      <c r="E180" s="976">
        <f>('Emission Factors'!C1216*D180)*0.001</f>
        <v>0</v>
      </c>
      <c r="H180" s="765"/>
      <c r="I180" s="765"/>
    </row>
    <row r="181" spans="1:11">
      <c r="A181" s="705" t="s">
        <v>931</v>
      </c>
      <c r="B181" s="768"/>
      <c r="C181" s="705">
        <v>1.62</v>
      </c>
      <c r="D181" s="1032">
        <f t="shared" si="10"/>
        <v>0</v>
      </c>
      <c r="E181" s="976">
        <f>('Emission Factors'!C1217*D181)*0.001</f>
        <v>0</v>
      </c>
      <c r="F181" s="960"/>
      <c r="J181" s="765"/>
      <c r="K181" s="765"/>
    </row>
    <row r="182" spans="1:11">
      <c r="A182" s="705" t="s">
        <v>932</v>
      </c>
      <c r="B182" s="768"/>
      <c r="C182" s="705">
        <v>1.39</v>
      </c>
      <c r="D182" s="1032">
        <f t="shared" si="10"/>
        <v>0</v>
      </c>
      <c r="E182" s="976">
        <f>('Emission Factors'!C1218*D182)*0.001</f>
        <v>0</v>
      </c>
      <c r="H182" s="765"/>
      <c r="I182" s="765"/>
    </row>
    <row r="183" spans="1:11">
      <c r="A183" s="705" t="s">
        <v>933</v>
      </c>
      <c r="B183" s="768"/>
      <c r="C183" s="705">
        <v>1.46</v>
      </c>
      <c r="D183" s="1032">
        <f t="shared" si="10"/>
        <v>0</v>
      </c>
      <c r="E183" s="976">
        <f>('Emission Factors'!C1219*D183)*0.001</f>
        <v>0</v>
      </c>
      <c r="H183" s="765"/>
      <c r="I183" s="765"/>
    </row>
    <row r="184" spans="1:11">
      <c r="A184" s="705" t="s">
        <v>934</v>
      </c>
      <c r="B184" s="768"/>
      <c r="C184" s="705">
        <v>2.12</v>
      </c>
      <c r="D184" s="1032">
        <f t="shared" si="10"/>
        <v>0</v>
      </c>
      <c r="E184" s="976">
        <f>('Emission Factors'!C1220*D184)*0.001</f>
        <v>0</v>
      </c>
      <c r="H184" s="765"/>
      <c r="I184" s="765"/>
    </row>
    <row r="185" spans="1:11">
      <c r="A185" s="705" t="s">
        <v>935</v>
      </c>
      <c r="B185" s="768"/>
      <c r="C185" s="705">
        <v>2.13</v>
      </c>
      <c r="D185" s="1032">
        <f t="shared" si="10"/>
        <v>0</v>
      </c>
      <c r="E185" s="976">
        <f>('Emission Factors'!C1221*D185)*0.001</f>
        <v>0</v>
      </c>
      <c r="H185" s="765"/>
      <c r="I185" s="765"/>
    </row>
    <row r="186" spans="1:11">
      <c r="A186" s="705" t="s">
        <v>936</v>
      </c>
      <c r="B186" s="768"/>
      <c r="C186" s="705">
        <v>1.49</v>
      </c>
      <c r="D186" s="1032">
        <f t="shared" si="10"/>
        <v>0</v>
      </c>
      <c r="E186" s="976">
        <f>('Emission Factors'!C1222*D186)*0.001</f>
        <v>0</v>
      </c>
      <c r="H186" s="765"/>
      <c r="I186" s="765"/>
    </row>
    <row r="187" spans="1:11">
      <c r="A187" s="705" t="s">
        <v>937</v>
      </c>
      <c r="B187" s="768"/>
      <c r="C187" s="705">
        <v>1.45</v>
      </c>
      <c r="D187" s="1032">
        <f t="shared" si="10"/>
        <v>0</v>
      </c>
      <c r="E187" s="976">
        <f>('Emission Factors'!C1223*D187)*0.001</f>
        <v>0</v>
      </c>
      <c r="H187" s="765"/>
      <c r="I187" s="765"/>
    </row>
    <row r="188" spans="1:11">
      <c r="A188" s="705" t="s">
        <v>938</v>
      </c>
      <c r="B188" s="768"/>
      <c r="C188" s="705">
        <v>1.1100000000000001</v>
      </c>
      <c r="D188" s="1032">
        <f t="shared" si="10"/>
        <v>0</v>
      </c>
      <c r="E188" s="976">
        <f>('Emission Factors'!C1224*D188)*0.001</f>
        <v>0</v>
      </c>
      <c r="H188" s="765"/>
      <c r="I188" s="765"/>
    </row>
    <row r="189" spans="1:11">
      <c r="A189" s="705" t="s">
        <v>939</v>
      </c>
      <c r="B189" s="768"/>
      <c r="C189" s="705">
        <v>1.64</v>
      </c>
      <c r="D189" s="1032">
        <f t="shared" si="10"/>
        <v>0</v>
      </c>
      <c r="E189" s="976">
        <f>('Emission Factors'!C1225*D189)*0.001</f>
        <v>0</v>
      </c>
      <c r="H189" s="765"/>
      <c r="I189" s="765"/>
    </row>
    <row r="190" spans="1:11">
      <c r="A190" s="705" t="s">
        <v>940</v>
      </c>
      <c r="B190" s="768"/>
      <c r="C190" s="705">
        <v>2.16</v>
      </c>
      <c r="D190" s="1032">
        <f t="shared" si="10"/>
        <v>0</v>
      </c>
      <c r="E190" s="976">
        <f>('Emission Factors'!C1226*D190)*0.001</f>
        <v>0</v>
      </c>
      <c r="H190" s="765"/>
      <c r="I190" s="765"/>
    </row>
    <row r="191" spans="1:11">
      <c r="A191" s="705" t="s">
        <v>941</v>
      </c>
      <c r="B191" s="768"/>
      <c r="C191" s="705">
        <v>1.32</v>
      </c>
      <c r="D191" s="1032">
        <f t="shared" si="10"/>
        <v>0</v>
      </c>
      <c r="E191" s="976">
        <f>('Emission Factors'!C1227*D191)*0.001</f>
        <v>0</v>
      </c>
      <c r="H191" s="765"/>
      <c r="I191" s="765"/>
    </row>
    <row r="192" spans="1:11" ht="16.5" thickBot="1">
      <c r="C192" s="920"/>
      <c r="D192" s="1008" t="s">
        <v>424</v>
      </c>
      <c r="E192" s="999">
        <f>SUM(E177:E191)</f>
        <v>0</v>
      </c>
      <c r="H192" s="765"/>
      <c r="I192" s="765"/>
    </row>
    <row r="193" spans="1:10" ht="16.5" thickBot="1"/>
    <row r="194" spans="1:10" ht="29.25" thickBot="1">
      <c r="A194" s="1033" t="s">
        <v>435</v>
      </c>
    </row>
    <row r="195" spans="1:10" ht="16.5" thickBot="1"/>
    <row r="196" spans="1:10" ht="31.5">
      <c r="A196" s="748" t="s">
        <v>923</v>
      </c>
      <c r="B196" s="748" t="s">
        <v>880</v>
      </c>
      <c r="C196" s="748" t="s">
        <v>925</v>
      </c>
      <c r="D196" s="820" t="s">
        <v>864</v>
      </c>
      <c r="G196" s="765"/>
      <c r="H196" s="765"/>
    </row>
    <row r="197" spans="1:10">
      <c r="A197" s="705" t="s">
        <v>927</v>
      </c>
      <c r="B197" s="768"/>
      <c r="C197" s="705">
        <v>0.99819999999999998</v>
      </c>
      <c r="D197" s="976">
        <f>('Emission Factors'!C1213*B197)*0.001</f>
        <v>0</v>
      </c>
      <c r="G197" s="765"/>
      <c r="H197" s="765"/>
    </row>
    <row r="198" spans="1:10">
      <c r="A198" s="705" t="s">
        <v>928</v>
      </c>
      <c r="B198" s="768"/>
      <c r="C198" s="705">
        <v>0.898698</v>
      </c>
      <c r="D198" s="976">
        <f>('Emission Factors'!C1214*B198)*0.001</f>
        <v>0</v>
      </c>
      <c r="G198" s="765"/>
      <c r="H198" s="765"/>
    </row>
    <row r="199" spans="1:10">
      <c r="A199" s="705" t="s">
        <v>929</v>
      </c>
      <c r="B199" s="768"/>
      <c r="C199" s="705">
        <v>1.53</v>
      </c>
      <c r="D199" s="976">
        <f>('Emission Factors'!C1215*B199)*0.001</f>
        <v>0</v>
      </c>
      <c r="G199" s="765"/>
      <c r="H199" s="765"/>
    </row>
    <row r="200" spans="1:10">
      <c r="A200" s="705" t="s">
        <v>930</v>
      </c>
      <c r="B200" s="768"/>
      <c r="C200" s="705">
        <v>1.62</v>
      </c>
      <c r="D200" s="976">
        <f>('Emission Factors'!C1216*B200)*0.001</f>
        <v>0</v>
      </c>
      <c r="G200" s="765"/>
      <c r="H200" s="765"/>
    </row>
    <row r="201" spans="1:10">
      <c r="A201" s="705" t="s">
        <v>931</v>
      </c>
      <c r="B201" s="768"/>
      <c r="C201" s="705">
        <v>1.62</v>
      </c>
      <c r="D201" s="976">
        <f>('Emission Factors'!C1217*B201)*0.001</f>
        <v>0</v>
      </c>
      <c r="E201" s="960"/>
      <c r="I201" s="765"/>
      <c r="J201" s="765"/>
    </row>
    <row r="202" spans="1:10">
      <c r="A202" s="705" t="s">
        <v>932</v>
      </c>
      <c r="B202" s="768"/>
      <c r="C202" s="705">
        <v>1.39</v>
      </c>
      <c r="D202" s="976">
        <f>('Emission Factors'!C1218*B202)*0.001</f>
        <v>0</v>
      </c>
      <c r="G202" s="765"/>
      <c r="H202" s="765"/>
    </row>
    <row r="203" spans="1:10">
      <c r="A203" s="705" t="s">
        <v>942</v>
      </c>
      <c r="B203" s="768"/>
      <c r="C203" s="705">
        <v>1.46</v>
      </c>
      <c r="D203" s="976">
        <f>('Emission Factors'!C1219*B203)*0.001</f>
        <v>0</v>
      </c>
      <c r="G203" s="765"/>
      <c r="H203" s="765"/>
    </row>
    <row r="204" spans="1:10">
      <c r="A204" s="705" t="s">
        <v>934</v>
      </c>
      <c r="B204" s="768"/>
      <c r="C204" s="705">
        <v>2.12</v>
      </c>
      <c r="D204" s="976">
        <f>('Emission Factors'!C1220*B204)*0.001</f>
        <v>0</v>
      </c>
      <c r="G204" s="765"/>
      <c r="H204" s="765"/>
    </row>
    <row r="205" spans="1:10">
      <c r="A205" s="705" t="s">
        <v>935</v>
      </c>
      <c r="B205" s="768"/>
      <c r="C205" s="705">
        <v>2.13</v>
      </c>
      <c r="D205" s="976">
        <f>('Emission Factors'!C1221*B205)*0.001</f>
        <v>0</v>
      </c>
      <c r="G205" s="765"/>
      <c r="H205" s="765"/>
    </row>
    <row r="206" spans="1:10">
      <c r="A206" s="705" t="s">
        <v>936</v>
      </c>
      <c r="B206" s="768"/>
      <c r="C206" s="705">
        <v>1.49</v>
      </c>
      <c r="D206" s="976">
        <f>('Emission Factors'!C1222*B206)*0.001</f>
        <v>0</v>
      </c>
      <c r="G206" s="765"/>
      <c r="H206" s="765"/>
    </row>
    <row r="207" spans="1:10">
      <c r="A207" s="705" t="s">
        <v>937</v>
      </c>
      <c r="B207" s="768"/>
      <c r="C207" s="705">
        <v>1.45</v>
      </c>
      <c r="D207" s="976">
        <f>('Emission Factors'!C1223*B207)*0.001</f>
        <v>0</v>
      </c>
      <c r="G207" s="765"/>
      <c r="H207" s="765"/>
    </row>
    <row r="208" spans="1:10">
      <c r="A208" s="705" t="s">
        <v>938</v>
      </c>
      <c r="B208" s="768"/>
      <c r="C208" s="705">
        <v>1.1100000000000001</v>
      </c>
      <c r="D208" s="976">
        <f>('Emission Factors'!C1224*B208)*0.001</f>
        <v>0</v>
      </c>
      <c r="G208" s="765"/>
      <c r="H208" s="765"/>
    </row>
    <row r="209" spans="1:17">
      <c r="A209" s="705" t="s">
        <v>939</v>
      </c>
      <c r="B209" s="768"/>
      <c r="C209" s="705">
        <v>1.64</v>
      </c>
      <c r="D209" s="976">
        <f>('Emission Factors'!C1225*B209)*0.001</f>
        <v>0</v>
      </c>
      <c r="G209" s="765"/>
      <c r="H209" s="765"/>
    </row>
    <row r="210" spans="1:17">
      <c r="A210" s="705" t="s">
        <v>940</v>
      </c>
      <c r="B210" s="768"/>
      <c r="C210" s="705">
        <v>2.16</v>
      </c>
      <c r="D210" s="976">
        <f>('Emission Factors'!C1226*B210)*0.001</f>
        <v>0</v>
      </c>
      <c r="G210" s="765"/>
      <c r="H210" s="765"/>
    </row>
    <row r="211" spans="1:17">
      <c r="A211" s="705" t="s">
        <v>941</v>
      </c>
      <c r="B211" s="768"/>
      <c r="C211" s="705">
        <v>1.32</v>
      </c>
      <c r="D211" s="976">
        <f>('Emission Factors'!C1227*B211)*0.001</f>
        <v>0</v>
      </c>
      <c r="G211" s="765"/>
      <c r="H211" s="765"/>
    </row>
    <row r="212" spans="1:17" ht="16.5" thickBot="1">
      <c r="C212" s="1008" t="s">
        <v>424</v>
      </c>
      <c r="D212" s="999">
        <f>SUM(D197:D211)</f>
        <v>0</v>
      </c>
      <c r="H212" s="765"/>
      <c r="I212" s="765"/>
    </row>
    <row r="214" spans="1:17" s="740" customFormat="1" ht="36">
      <c r="A214" s="2009" t="s">
        <v>943</v>
      </c>
      <c r="B214" s="2010"/>
      <c r="C214" s="2010"/>
      <c r="D214" s="2010"/>
      <c r="E214" s="2010"/>
      <c r="F214" s="2010"/>
      <c r="G214" s="2010"/>
      <c r="H214" s="2010"/>
      <c r="I214" s="2010"/>
      <c r="J214" s="2010"/>
      <c r="K214" s="2010"/>
      <c r="L214" s="2010"/>
      <c r="M214" s="2010"/>
      <c r="N214" s="2010"/>
      <c r="O214" s="2010"/>
      <c r="P214" s="2010"/>
      <c r="Q214" s="2011"/>
    </row>
    <row r="216" spans="1:17" s="743" customFormat="1" ht="23.25">
      <c r="B216" s="725" t="s">
        <v>427</v>
      </c>
      <c r="C216" s="726"/>
    </row>
    <row r="217" spans="1:17" s="743" customFormat="1" ht="23.25" customHeight="1" thickBot="1">
      <c r="A217" s="2075" t="s">
        <v>944</v>
      </c>
      <c r="B217" s="2076"/>
      <c r="C217" s="2076"/>
      <c r="D217" s="2076"/>
      <c r="E217" s="2076"/>
      <c r="F217" s="2076"/>
      <c r="G217" s="2076"/>
      <c r="H217" s="1034"/>
      <c r="I217" s="1034"/>
      <c r="J217" s="1034"/>
      <c r="K217" s="1034"/>
      <c r="L217" s="1034"/>
      <c r="M217" s="1034"/>
      <c r="N217" s="1034"/>
      <c r="O217" s="1034"/>
      <c r="P217" s="1034"/>
      <c r="Q217" s="1034"/>
    </row>
    <row r="218" spans="1:17" ht="31.5">
      <c r="A218" s="748" t="s">
        <v>945</v>
      </c>
      <c r="B218" s="748" t="s">
        <v>946</v>
      </c>
      <c r="C218" s="748" t="s">
        <v>947</v>
      </c>
      <c r="D218" s="748" t="s">
        <v>948</v>
      </c>
      <c r="E218" s="748" t="s">
        <v>949</v>
      </c>
      <c r="F218" s="748" t="s">
        <v>950</v>
      </c>
      <c r="G218" s="983" t="s">
        <v>951</v>
      </c>
    </row>
    <row r="219" spans="1:17">
      <c r="A219" s="768"/>
      <c r="B219" s="997"/>
      <c r="C219" s="997"/>
      <c r="D219" s="997"/>
      <c r="E219" s="1035">
        <f>(B219*D219)/1000</f>
        <v>0</v>
      </c>
      <c r="F219" s="1036">
        <f>E219*C219</f>
        <v>0</v>
      </c>
      <c r="G219" s="1037">
        <f>'Emission Factors'!$D$362*F219*0.001</f>
        <v>0</v>
      </c>
    </row>
    <row r="220" spans="1:17">
      <c r="A220" s="768"/>
      <c r="B220" s="997"/>
      <c r="C220" s="997"/>
      <c r="D220" s="997"/>
      <c r="E220" s="1035">
        <f t="shared" ref="E220:E228" si="11">(B220*D220)/1000</f>
        <v>0</v>
      </c>
      <c r="F220" s="1036">
        <f t="shared" ref="F220:F228" si="12">E220*C220</f>
        <v>0</v>
      </c>
      <c r="G220" s="1037">
        <f>'Emission Factors'!$D$362*F220*0.001</f>
        <v>0</v>
      </c>
    </row>
    <row r="221" spans="1:17">
      <c r="A221" s="768"/>
      <c r="B221" s="997"/>
      <c r="C221" s="997"/>
      <c r="D221" s="997"/>
      <c r="E221" s="1035">
        <f t="shared" si="11"/>
        <v>0</v>
      </c>
      <c r="F221" s="1036">
        <f t="shared" si="12"/>
        <v>0</v>
      </c>
      <c r="G221" s="1037">
        <f>'Emission Factors'!$D$362*F221*0.001</f>
        <v>0</v>
      </c>
    </row>
    <row r="222" spans="1:17">
      <c r="A222" s="768"/>
      <c r="B222" s="997"/>
      <c r="C222" s="997"/>
      <c r="D222" s="997"/>
      <c r="E222" s="1035">
        <f t="shared" si="11"/>
        <v>0</v>
      </c>
      <c r="F222" s="1036">
        <f t="shared" si="12"/>
        <v>0</v>
      </c>
      <c r="G222" s="1037">
        <f>'Emission Factors'!$D$362*F222*0.001</f>
        <v>0</v>
      </c>
    </row>
    <row r="223" spans="1:17">
      <c r="A223" s="768"/>
      <c r="B223" s="997"/>
      <c r="C223" s="997"/>
      <c r="D223" s="997"/>
      <c r="E223" s="1035">
        <f t="shared" si="11"/>
        <v>0</v>
      </c>
      <c r="F223" s="1036">
        <f t="shared" si="12"/>
        <v>0</v>
      </c>
      <c r="G223" s="1037">
        <f>'Emission Factors'!$D$362*F223*0.001</f>
        <v>0</v>
      </c>
    </row>
    <row r="224" spans="1:17">
      <c r="A224" s="768"/>
      <c r="B224" s="997"/>
      <c r="C224" s="997"/>
      <c r="D224" s="997"/>
      <c r="E224" s="1035">
        <f t="shared" si="11"/>
        <v>0</v>
      </c>
      <c r="F224" s="1036">
        <f t="shared" si="12"/>
        <v>0</v>
      </c>
      <c r="G224" s="1037">
        <f>'Emission Factors'!$D$362*F224*0.001</f>
        <v>0</v>
      </c>
    </row>
    <row r="225" spans="1:17">
      <c r="A225" s="768"/>
      <c r="B225" s="997"/>
      <c r="C225" s="997"/>
      <c r="D225" s="997"/>
      <c r="E225" s="1035">
        <f t="shared" si="11"/>
        <v>0</v>
      </c>
      <c r="F225" s="1036">
        <f t="shared" si="12"/>
        <v>0</v>
      </c>
      <c r="G225" s="1037">
        <f>'Emission Factors'!$D$362*F225*0.001</f>
        <v>0</v>
      </c>
    </row>
    <row r="226" spans="1:17">
      <c r="A226" s="768"/>
      <c r="B226" s="997"/>
      <c r="C226" s="997"/>
      <c r="D226" s="997"/>
      <c r="E226" s="1035">
        <f t="shared" si="11"/>
        <v>0</v>
      </c>
      <c r="F226" s="1036">
        <f t="shared" si="12"/>
        <v>0</v>
      </c>
      <c r="G226" s="1037">
        <f>'Emission Factors'!$D$362*F226*0.001</f>
        <v>0</v>
      </c>
    </row>
    <row r="227" spans="1:17">
      <c r="A227" s="768"/>
      <c r="B227" s="997"/>
      <c r="C227" s="997"/>
      <c r="D227" s="997"/>
      <c r="E227" s="1035">
        <f t="shared" si="11"/>
        <v>0</v>
      </c>
      <c r="F227" s="1036">
        <f t="shared" si="12"/>
        <v>0</v>
      </c>
      <c r="G227" s="1037">
        <f>'Emission Factors'!$D$362*F227*0.001</f>
        <v>0</v>
      </c>
    </row>
    <row r="228" spans="1:17">
      <c r="A228" s="768"/>
      <c r="B228" s="997"/>
      <c r="C228" s="997"/>
      <c r="D228" s="997"/>
      <c r="E228" s="1035">
        <f t="shared" si="11"/>
        <v>0</v>
      </c>
      <c r="F228" s="1036">
        <f t="shared" si="12"/>
        <v>0</v>
      </c>
      <c r="G228" s="1037">
        <f>'Emission Factors'!$D$362*F228*0.001</f>
        <v>0</v>
      </c>
    </row>
    <row r="229" spans="1:17" s="743" customFormat="1" ht="23.25" customHeight="1" thickBot="1">
      <c r="A229" s="2097" t="s">
        <v>952</v>
      </c>
      <c r="B229" s="2098"/>
      <c r="C229" s="2098"/>
      <c r="D229" s="2098"/>
      <c r="E229" s="2098"/>
      <c r="F229" s="2098"/>
      <c r="G229" s="2098"/>
      <c r="H229" s="1038"/>
      <c r="I229" s="1038"/>
      <c r="J229" s="1038"/>
      <c r="K229" s="1038"/>
      <c r="L229" s="1038"/>
      <c r="M229" s="1038"/>
      <c r="N229" s="1038"/>
      <c r="O229" s="1038"/>
      <c r="P229" s="1038"/>
      <c r="Q229" s="1038"/>
    </row>
    <row r="230" spans="1:17" ht="31.5">
      <c r="A230" s="748" t="s">
        <v>945</v>
      </c>
      <c r="B230" s="748" t="s">
        <v>946</v>
      </c>
      <c r="C230" s="748" t="s">
        <v>947</v>
      </c>
      <c r="D230" s="748" t="s">
        <v>948</v>
      </c>
      <c r="E230" s="748" t="s">
        <v>949</v>
      </c>
      <c r="F230" s="748" t="s">
        <v>950</v>
      </c>
      <c r="G230" s="983" t="s">
        <v>951</v>
      </c>
    </row>
    <row r="231" spans="1:17">
      <c r="A231" s="768"/>
      <c r="B231" s="997"/>
      <c r="C231" s="997"/>
      <c r="D231" s="997"/>
      <c r="E231" s="1035">
        <f t="shared" ref="E231:E240" si="13">(B231*D231)/1000</f>
        <v>0</v>
      </c>
      <c r="F231" s="1036">
        <f t="shared" ref="F231:F240" si="14">E231*C231</f>
        <v>0</v>
      </c>
      <c r="G231" s="1037">
        <f>'Emission Factors'!$D$507*F231*0.001</f>
        <v>0</v>
      </c>
    </row>
    <row r="232" spans="1:17">
      <c r="A232" s="768"/>
      <c r="B232" s="997"/>
      <c r="C232" s="997"/>
      <c r="D232" s="997"/>
      <c r="E232" s="1035">
        <f t="shared" si="13"/>
        <v>0</v>
      </c>
      <c r="F232" s="1036">
        <f t="shared" si="14"/>
        <v>0</v>
      </c>
      <c r="G232" s="1037">
        <f>'Emission Factors'!$D$507*F232*0.001</f>
        <v>0</v>
      </c>
    </row>
    <row r="233" spans="1:17">
      <c r="A233" s="768"/>
      <c r="B233" s="997"/>
      <c r="C233" s="997"/>
      <c r="D233" s="997"/>
      <c r="E233" s="1035">
        <f t="shared" ref="E233:E235" si="15">(B233*D233)/1000</f>
        <v>0</v>
      </c>
      <c r="F233" s="1036">
        <f t="shared" ref="F233:F235" si="16">E233*C233</f>
        <v>0</v>
      </c>
      <c r="G233" s="1037">
        <f>'Emission Factors'!$D$507*F233*0.001</f>
        <v>0</v>
      </c>
    </row>
    <row r="234" spans="1:17">
      <c r="A234" s="768"/>
      <c r="B234" s="997"/>
      <c r="C234" s="997"/>
      <c r="D234" s="997"/>
      <c r="E234" s="1035">
        <f t="shared" si="15"/>
        <v>0</v>
      </c>
      <c r="F234" s="1036">
        <f t="shared" si="16"/>
        <v>0</v>
      </c>
      <c r="G234" s="1037">
        <f>'Emission Factors'!$D$507*F234*0.001</f>
        <v>0</v>
      </c>
    </row>
    <row r="235" spans="1:17">
      <c r="A235" s="768"/>
      <c r="B235" s="997"/>
      <c r="C235" s="997"/>
      <c r="D235" s="997"/>
      <c r="E235" s="1035">
        <f t="shared" si="15"/>
        <v>0</v>
      </c>
      <c r="F235" s="1036">
        <f t="shared" si="16"/>
        <v>0</v>
      </c>
      <c r="G235" s="1037">
        <f>'Emission Factors'!$D$507*F235*0.001</f>
        <v>0</v>
      </c>
    </row>
    <row r="236" spans="1:17">
      <c r="A236" s="768"/>
      <c r="B236" s="997"/>
      <c r="C236" s="997"/>
      <c r="D236" s="997"/>
      <c r="E236" s="1035">
        <f t="shared" ref="E236" si="17">(B236*D236)/1000</f>
        <v>0</v>
      </c>
      <c r="F236" s="1036">
        <f t="shared" ref="F236" si="18">E236*C236</f>
        <v>0</v>
      </c>
      <c r="G236" s="1037">
        <f>'Emission Factors'!$D$507*F236*0.001</f>
        <v>0</v>
      </c>
    </row>
    <row r="237" spans="1:17">
      <c r="A237" s="768"/>
      <c r="B237" s="997"/>
      <c r="C237" s="997"/>
      <c r="D237" s="997"/>
      <c r="E237" s="1035">
        <f t="shared" si="13"/>
        <v>0</v>
      </c>
      <c r="F237" s="1036">
        <f t="shared" si="14"/>
        <v>0</v>
      </c>
      <c r="G237" s="1037">
        <f>'Emission Factors'!$D$507*F237*0.001</f>
        <v>0</v>
      </c>
    </row>
    <row r="238" spans="1:17">
      <c r="A238" s="768"/>
      <c r="B238" s="997"/>
      <c r="C238" s="997"/>
      <c r="D238" s="997"/>
      <c r="E238" s="1035">
        <f t="shared" si="13"/>
        <v>0</v>
      </c>
      <c r="F238" s="1036">
        <f t="shared" si="14"/>
        <v>0</v>
      </c>
      <c r="G238" s="1037">
        <f>'Emission Factors'!$D$507*F238*0.001</f>
        <v>0</v>
      </c>
    </row>
    <row r="239" spans="1:17">
      <c r="A239" s="768"/>
      <c r="B239" s="997"/>
      <c r="C239" s="997"/>
      <c r="D239" s="997"/>
      <c r="E239" s="1035">
        <f t="shared" si="13"/>
        <v>0</v>
      </c>
      <c r="F239" s="1036">
        <f t="shared" si="14"/>
        <v>0</v>
      </c>
      <c r="G239" s="1037">
        <f>'Emission Factors'!$D$507*F239*0.001</f>
        <v>0</v>
      </c>
    </row>
    <row r="240" spans="1:17">
      <c r="A240" s="768"/>
      <c r="B240" s="997"/>
      <c r="C240" s="997"/>
      <c r="D240" s="997"/>
      <c r="E240" s="1035">
        <f t="shared" si="13"/>
        <v>0</v>
      </c>
      <c r="F240" s="1036">
        <f t="shared" si="14"/>
        <v>0</v>
      </c>
      <c r="G240" s="1037">
        <f>'Emission Factors'!$D$507*F240*0.001</f>
        <v>0</v>
      </c>
    </row>
    <row r="241" spans="1:17" s="743" customFormat="1" ht="23.25" customHeight="1" thickBot="1">
      <c r="A241" s="2097" t="s">
        <v>953</v>
      </c>
      <c r="B241" s="2098"/>
      <c r="C241" s="2098"/>
      <c r="D241" s="2098"/>
      <c r="E241" s="2098"/>
      <c r="F241" s="2098"/>
      <c r="G241" s="2098"/>
      <c r="H241" s="1038"/>
      <c r="I241" s="1038"/>
      <c r="J241" s="1038"/>
      <c r="K241" s="1038"/>
      <c r="L241" s="1038"/>
      <c r="M241" s="1038"/>
      <c r="N241" s="1038"/>
      <c r="O241" s="1038"/>
      <c r="P241" s="1038"/>
      <c r="Q241" s="1038"/>
    </row>
    <row r="242" spans="1:17" ht="31.5">
      <c r="A242" s="912" t="s">
        <v>945</v>
      </c>
      <c r="B242" s="912" t="s">
        <v>946</v>
      </c>
      <c r="C242" s="912" t="s">
        <v>947</v>
      </c>
      <c r="D242" s="912" t="s">
        <v>948</v>
      </c>
      <c r="E242" s="912" t="s">
        <v>949</v>
      </c>
      <c r="F242" s="748" t="s">
        <v>950</v>
      </c>
      <c r="G242" s="983" t="s">
        <v>951</v>
      </c>
    </row>
    <row r="243" spans="1:17">
      <c r="A243" s="768"/>
      <c r="B243" s="997"/>
      <c r="C243" s="997"/>
      <c r="D243" s="997"/>
      <c r="E243" s="1035">
        <f t="shared" ref="E243:E247" si="19">(B243*D243)/1000</f>
        <v>0</v>
      </c>
      <c r="F243" s="1036">
        <f t="shared" ref="F243:F247" si="20">E243*C243</f>
        <v>0</v>
      </c>
      <c r="G243" s="1037">
        <f>(F243*0.5*'Emission Factors'!$D$362)+(F243*0.5*'Emission Factors'!$D$507)*0.001</f>
        <v>0</v>
      </c>
    </row>
    <row r="244" spans="1:17">
      <c r="A244" s="768"/>
      <c r="B244" s="997"/>
      <c r="C244" s="997"/>
      <c r="D244" s="997"/>
      <c r="E244" s="1035">
        <f t="shared" si="19"/>
        <v>0</v>
      </c>
      <c r="F244" s="1036">
        <f t="shared" si="20"/>
        <v>0</v>
      </c>
      <c r="G244" s="1037">
        <f>(F244*0.5*'Emission Factors'!$D$362)+(F244*0.5*'Emission Factors'!$D$507)*0.001</f>
        <v>0</v>
      </c>
    </row>
    <row r="245" spans="1:17">
      <c r="A245" s="768"/>
      <c r="B245" s="997"/>
      <c r="C245" s="997"/>
      <c r="D245" s="997"/>
      <c r="E245" s="1035">
        <f t="shared" si="19"/>
        <v>0</v>
      </c>
      <c r="F245" s="1036">
        <f t="shared" si="20"/>
        <v>0</v>
      </c>
      <c r="G245" s="1037">
        <f>(F245*0.5*'Emission Factors'!$D$362)+(F245*0.5*'Emission Factors'!$D$507)*0.001</f>
        <v>0</v>
      </c>
    </row>
    <row r="246" spans="1:17">
      <c r="A246" s="768"/>
      <c r="B246" s="997"/>
      <c r="C246" s="997"/>
      <c r="D246" s="997"/>
      <c r="E246" s="1035">
        <f t="shared" si="19"/>
        <v>0</v>
      </c>
      <c r="F246" s="1036">
        <f t="shared" si="20"/>
        <v>0</v>
      </c>
      <c r="G246" s="1037">
        <f>(F246*0.5*'Emission Factors'!$D$362)+(F246*0.5*'Emission Factors'!$D$507)*0.001</f>
        <v>0</v>
      </c>
    </row>
    <row r="247" spans="1:17">
      <c r="A247" s="768"/>
      <c r="B247" s="997"/>
      <c r="C247" s="997"/>
      <c r="D247" s="997"/>
      <c r="E247" s="1035">
        <f t="shared" si="19"/>
        <v>0</v>
      </c>
      <c r="F247" s="1036">
        <f t="shared" si="20"/>
        <v>0</v>
      </c>
      <c r="G247" s="1037">
        <f>(F247*0.5*'Emission Factors'!$D$362)+(F247*0.5*'Emission Factors'!$D$507)*0.001</f>
        <v>0</v>
      </c>
    </row>
    <row r="248" spans="1:17">
      <c r="A248" s="768"/>
      <c r="B248" s="997"/>
      <c r="C248" s="997"/>
      <c r="D248" s="997"/>
      <c r="E248" s="1035">
        <f t="shared" ref="E248:E252" si="21">(B248*D248)/1000</f>
        <v>0</v>
      </c>
      <c r="F248" s="1036">
        <f t="shared" ref="F248:F252" si="22">E248*C248</f>
        <v>0</v>
      </c>
      <c r="G248" s="1037">
        <f>(F248*0.5*'Emission Factors'!$D$362)+(F248*0.5*'Emission Factors'!$D$507)*0.001</f>
        <v>0</v>
      </c>
    </row>
    <row r="249" spans="1:17">
      <c r="A249" s="768"/>
      <c r="B249" s="997"/>
      <c r="C249" s="997"/>
      <c r="D249" s="997"/>
      <c r="E249" s="1035">
        <f t="shared" si="21"/>
        <v>0</v>
      </c>
      <c r="F249" s="1036">
        <f t="shared" si="22"/>
        <v>0</v>
      </c>
      <c r="G249" s="1037">
        <f>(F249*0.5*'Emission Factors'!$D$362)+(F249*0.5*'Emission Factors'!$D$507)*0.001</f>
        <v>0</v>
      </c>
    </row>
    <row r="250" spans="1:17">
      <c r="A250" s="768"/>
      <c r="B250" s="997"/>
      <c r="C250" s="997"/>
      <c r="D250" s="997"/>
      <c r="E250" s="1035">
        <f t="shared" si="21"/>
        <v>0</v>
      </c>
      <c r="F250" s="1036">
        <f t="shared" si="22"/>
        <v>0</v>
      </c>
      <c r="G250" s="1037">
        <f>(F250*0.5*'Emission Factors'!$D$362)+(F250*0.5*'Emission Factors'!$D$507)*0.001</f>
        <v>0</v>
      </c>
    </row>
    <row r="251" spans="1:17">
      <c r="A251" s="768"/>
      <c r="B251" s="997"/>
      <c r="C251" s="997"/>
      <c r="D251" s="997"/>
      <c r="E251" s="1035">
        <f t="shared" si="21"/>
        <v>0</v>
      </c>
      <c r="F251" s="1036">
        <f t="shared" si="22"/>
        <v>0</v>
      </c>
      <c r="G251" s="1037">
        <f>(F251*0.5*'Emission Factors'!$D$362)+(F251*0.5*'Emission Factors'!$D$507)*0.001</f>
        <v>0</v>
      </c>
    </row>
    <row r="252" spans="1:17">
      <c r="A252" s="768"/>
      <c r="B252" s="997"/>
      <c r="C252" s="997"/>
      <c r="D252" s="997"/>
      <c r="E252" s="1035">
        <f t="shared" si="21"/>
        <v>0</v>
      </c>
      <c r="F252" s="1036">
        <f t="shared" si="22"/>
        <v>0</v>
      </c>
      <c r="G252" s="1037">
        <f>(F252*0.5*'Emission Factors'!$D$362)+(F252*0.5*'Emission Factors'!$D$507)*0.001</f>
        <v>0</v>
      </c>
    </row>
    <row r="253" spans="1:17" s="743" customFormat="1" ht="24" customHeight="1" thickBot="1">
      <c r="A253" s="2097" t="s">
        <v>954</v>
      </c>
      <c r="B253" s="2098"/>
      <c r="C253" s="2098"/>
      <c r="D253" s="2098"/>
      <c r="E253" s="2098"/>
      <c r="F253" s="2098"/>
      <c r="G253" s="2098"/>
      <c r="H253" s="1034"/>
      <c r="I253" s="1034"/>
      <c r="J253" s="1034"/>
      <c r="K253" s="1034"/>
      <c r="L253" s="1034"/>
      <c r="M253" s="1034"/>
      <c r="N253" s="1034"/>
      <c r="O253" s="1034"/>
      <c r="P253" s="1034"/>
      <c r="Q253" s="1034"/>
    </row>
    <row r="254" spans="1:17" ht="31.5">
      <c r="A254" s="912" t="s">
        <v>945</v>
      </c>
      <c r="B254" s="912" t="s">
        <v>946</v>
      </c>
      <c r="C254" s="912" t="s">
        <v>947</v>
      </c>
      <c r="D254" s="912" t="s">
        <v>948</v>
      </c>
      <c r="E254" s="912" t="s">
        <v>949</v>
      </c>
      <c r="F254" s="748" t="s">
        <v>950</v>
      </c>
      <c r="G254" s="983" t="s">
        <v>951</v>
      </c>
    </row>
    <row r="255" spans="1:17">
      <c r="A255" s="768"/>
      <c r="B255" s="997"/>
      <c r="C255" s="997"/>
      <c r="D255" s="997"/>
      <c r="E255" s="1035">
        <f t="shared" ref="E255:E259" si="23">(B255*D255)/1000</f>
        <v>0</v>
      </c>
      <c r="F255" s="1036">
        <f t="shared" ref="F255:F259" si="24">E255*C255</f>
        <v>0</v>
      </c>
      <c r="G255" s="1037">
        <f>(F255*0.75*'Emission Factors'!$D$362)+(F255*0.25*'Emission Factors'!$D$507)*0.001</f>
        <v>0</v>
      </c>
    </row>
    <row r="256" spans="1:17">
      <c r="A256" s="768"/>
      <c r="B256" s="997"/>
      <c r="C256" s="997"/>
      <c r="D256" s="997"/>
      <c r="E256" s="1035">
        <f t="shared" si="23"/>
        <v>0</v>
      </c>
      <c r="F256" s="1036">
        <f t="shared" si="24"/>
        <v>0</v>
      </c>
      <c r="G256" s="1037">
        <f>(F256*0.75*'Emission Factors'!$D$362)+(F256*0.25*'Emission Factors'!$D$507)*0.001</f>
        <v>0</v>
      </c>
    </row>
    <row r="257" spans="1:17">
      <c r="A257" s="768"/>
      <c r="B257" s="997"/>
      <c r="C257" s="997"/>
      <c r="D257" s="997"/>
      <c r="E257" s="1035">
        <f t="shared" si="23"/>
        <v>0</v>
      </c>
      <c r="F257" s="1036">
        <f t="shared" si="24"/>
        <v>0</v>
      </c>
      <c r="G257" s="1037">
        <f>(F257*0.75*'Emission Factors'!$D$362)+(F257*0.25*'Emission Factors'!$D$507)*0.001</f>
        <v>0</v>
      </c>
    </row>
    <row r="258" spans="1:17">
      <c r="A258" s="768"/>
      <c r="B258" s="997"/>
      <c r="C258" s="997"/>
      <c r="D258" s="997"/>
      <c r="E258" s="1035">
        <f t="shared" si="23"/>
        <v>0</v>
      </c>
      <c r="F258" s="1036">
        <f t="shared" si="24"/>
        <v>0</v>
      </c>
      <c r="G258" s="1037">
        <f>(F258*0.75*'Emission Factors'!$D$362)+(F258*0.25*'Emission Factors'!$D$507)*0.001</f>
        <v>0</v>
      </c>
    </row>
    <row r="259" spans="1:17">
      <c r="A259" s="768"/>
      <c r="B259" s="997"/>
      <c r="C259" s="997"/>
      <c r="D259" s="997"/>
      <c r="E259" s="1035">
        <f t="shared" si="23"/>
        <v>0</v>
      </c>
      <c r="F259" s="1036">
        <f t="shared" si="24"/>
        <v>0</v>
      </c>
      <c r="G259" s="1037">
        <f>(F259*0.75*'Emission Factors'!$D$362)+(F259*0.25*'Emission Factors'!$D$507)*0.001</f>
        <v>0</v>
      </c>
    </row>
    <row r="260" spans="1:17">
      <c r="A260" s="768"/>
      <c r="B260" s="997"/>
      <c r="C260" s="997"/>
      <c r="D260" s="997"/>
      <c r="E260" s="1035">
        <f t="shared" ref="E260:E264" si="25">(B260*D260)/1000</f>
        <v>0</v>
      </c>
      <c r="F260" s="1036">
        <f t="shared" ref="F260:F264" si="26">E260*C260</f>
        <v>0</v>
      </c>
      <c r="G260" s="1037">
        <f>(F260*0.75*'Emission Factors'!$D$362)+(F260*0.25*'Emission Factors'!$D$507)*0.001</f>
        <v>0</v>
      </c>
    </row>
    <row r="261" spans="1:17">
      <c r="A261" s="768"/>
      <c r="B261" s="997"/>
      <c r="C261" s="997"/>
      <c r="D261" s="997"/>
      <c r="E261" s="1035">
        <f t="shared" si="25"/>
        <v>0</v>
      </c>
      <c r="F261" s="1036">
        <f t="shared" si="26"/>
        <v>0</v>
      </c>
      <c r="G261" s="1037">
        <f>(F261*0.75*'Emission Factors'!$D$362)+(F261*0.25*'Emission Factors'!$D$507)*0.001</f>
        <v>0</v>
      </c>
    </row>
    <row r="262" spans="1:17">
      <c r="A262" s="768"/>
      <c r="B262" s="997"/>
      <c r="C262" s="997"/>
      <c r="D262" s="997"/>
      <c r="E262" s="1035">
        <f t="shared" si="25"/>
        <v>0</v>
      </c>
      <c r="F262" s="1036">
        <f t="shared" si="26"/>
        <v>0</v>
      </c>
      <c r="G262" s="1037">
        <f>(F262*0.75*'Emission Factors'!$D$362)+(F262*0.25*'Emission Factors'!$D$507)*0.001</f>
        <v>0</v>
      </c>
    </row>
    <row r="263" spans="1:17">
      <c r="A263" s="768"/>
      <c r="B263" s="997"/>
      <c r="C263" s="997"/>
      <c r="D263" s="997"/>
      <c r="E263" s="1035">
        <f t="shared" si="25"/>
        <v>0</v>
      </c>
      <c r="F263" s="1036">
        <f t="shared" si="26"/>
        <v>0</v>
      </c>
      <c r="G263" s="1037">
        <f>(F263*0.75*'Emission Factors'!$D$362)+(F263*0.25*'Emission Factors'!$D$507)*0.001</f>
        <v>0</v>
      </c>
    </row>
    <row r="264" spans="1:17">
      <c r="A264" s="768"/>
      <c r="B264" s="997"/>
      <c r="C264" s="997"/>
      <c r="D264" s="997"/>
      <c r="E264" s="1035">
        <f t="shared" si="25"/>
        <v>0</v>
      </c>
      <c r="F264" s="1036">
        <f t="shared" si="26"/>
        <v>0</v>
      </c>
      <c r="G264" s="1037">
        <f>(F264*0.75*'Emission Factors'!$D$362)+(F264*0.25*'Emission Factors'!$D$507)*0.001</f>
        <v>0</v>
      </c>
    </row>
    <row r="265" spans="1:17" s="743" customFormat="1" ht="24" customHeight="1" thickBot="1">
      <c r="A265" s="2099" t="s">
        <v>955</v>
      </c>
      <c r="B265" s="2100"/>
      <c r="C265" s="2100"/>
      <c r="D265" s="2100"/>
      <c r="E265" s="2100"/>
      <c r="F265" s="2100"/>
      <c r="G265" s="2100"/>
      <c r="H265" s="1034"/>
      <c r="I265" s="1034"/>
      <c r="J265" s="1034"/>
      <c r="K265" s="1034"/>
      <c r="L265" s="1034"/>
      <c r="M265" s="1034"/>
      <c r="N265" s="1034"/>
      <c r="O265" s="1034"/>
      <c r="P265" s="1034"/>
      <c r="Q265" s="1034"/>
    </row>
    <row r="266" spans="1:17" ht="31.5">
      <c r="A266" s="912" t="s">
        <v>945</v>
      </c>
      <c r="B266" s="912" t="s">
        <v>946</v>
      </c>
      <c r="C266" s="912" t="s">
        <v>947</v>
      </c>
      <c r="D266" s="912" t="s">
        <v>948</v>
      </c>
      <c r="E266" s="912" t="s">
        <v>949</v>
      </c>
      <c r="F266" s="748" t="s">
        <v>950</v>
      </c>
      <c r="G266" s="983" t="s">
        <v>951</v>
      </c>
    </row>
    <row r="267" spans="1:17">
      <c r="A267" s="768"/>
      <c r="B267" s="997"/>
      <c r="C267" s="997"/>
      <c r="D267" s="997"/>
      <c r="E267" s="1035">
        <f>(B267*D267)/1000</f>
        <v>0</v>
      </c>
      <c r="F267" s="1036">
        <f t="shared" ref="F267:F271" si="27">E267*C267</f>
        <v>0</v>
      </c>
      <c r="G267" s="1037">
        <f>(F267*'Emission Factors'!$D$471)*0.001</f>
        <v>0</v>
      </c>
      <c r="H267" s="981" t="s">
        <v>956</v>
      </c>
      <c r="N267" s="1450"/>
    </row>
    <row r="268" spans="1:17">
      <c r="A268" s="768"/>
      <c r="B268" s="997"/>
      <c r="C268" s="997"/>
      <c r="D268" s="997"/>
      <c r="E268" s="1035">
        <f t="shared" ref="E268:E271" si="28">(B268*D268)/1000</f>
        <v>0</v>
      </c>
      <c r="F268" s="1036">
        <f t="shared" si="27"/>
        <v>0</v>
      </c>
      <c r="G268" s="1037">
        <f>(F268*'Emission Factors'!$D$471)*0.001</f>
        <v>0</v>
      </c>
    </row>
    <row r="269" spans="1:17">
      <c r="A269" s="768"/>
      <c r="B269" s="997"/>
      <c r="C269" s="997"/>
      <c r="D269" s="997"/>
      <c r="E269" s="1035">
        <f t="shared" si="28"/>
        <v>0</v>
      </c>
      <c r="F269" s="1036">
        <f t="shared" si="27"/>
        <v>0</v>
      </c>
      <c r="G269" s="1037">
        <f>(F269*0.25*'Emission Factors'!$D$362)+(F269*0.75*'Emission Factors'!$D$471)*0.001</f>
        <v>0</v>
      </c>
    </row>
    <row r="270" spans="1:17">
      <c r="A270" s="768"/>
      <c r="B270" s="997"/>
      <c r="C270" s="997"/>
      <c r="D270" s="997"/>
      <c r="E270" s="1035">
        <f t="shared" si="28"/>
        <v>0</v>
      </c>
      <c r="F270" s="1036">
        <f t="shared" si="27"/>
        <v>0</v>
      </c>
      <c r="G270" s="1037">
        <f>(F270*0.25*'Emission Factors'!$D$362)+(F270*0.75*'Emission Factors'!$D$471)*0.001</f>
        <v>0</v>
      </c>
    </row>
    <row r="271" spans="1:17">
      <c r="A271" s="768"/>
      <c r="B271" s="997"/>
      <c r="C271" s="997"/>
      <c r="D271" s="997"/>
      <c r="E271" s="1035">
        <f t="shared" si="28"/>
        <v>0</v>
      </c>
      <c r="F271" s="1036">
        <f t="shared" si="27"/>
        <v>0</v>
      </c>
      <c r="G271" s="1037">
        <f>(F271*0.25*'Emission Factors'!$D$362)+(F271*0.75*'Emission Factors'!$D$471)*0.001</f>
        <v>0</v>
      </c>
    </row>
    <row r="272" spans="1:17">
      <c r="A272" s="768"/>
      <c r="B272" s="997"/>
      <c r="C272" s="997"/>
      <c r="D272" s="997"/>
      <c r="E272" s="1035">
        <f t="shared" ref="E272:E276" si="29">(B272*D272)/1000</f>
        <v>0</v>
      </c>
      <c r="F272" s="1036">
        <f t="shared" ref="F272:F276" si="30">E272*C272</f>
        <v>0</v>
      </c>
      <c r="G272" s="1037">
        <f>(F272*0.25*'Emission Factors'!$D$362)+(F272*0.75*'Emission Factors'!$D$471)*0.001</f>
        <v>0</v>
      </c>
    </row>
    <row r="273" spans="1:17">
      <c r="A273" s="768"/>
      <c r="B273" s="997"/>
      <c r="C273" s="997"/>
      <c r="D273" s="997"/>
      <c r="E273" s="1035">
        <f t="shared" si="29"/>
        <v>0</v>
      </c>
      <c r="F273" s="1036">
        <f t="shared" si="30"/>
        <v>0</v>
      </c>
      <c r="G273" s="1037">
        <f>(F273*0.25*'Emission Factors'!$D$362)+(F273*0.75*'Emission Factors'!$D$471)*0.001</f>
        <v>0</v>
      </c>
    </row>
    <row r="274" spans="1:17">
      <c r="A274" s="768"/>
      <c r="B274" s="997"/>
      <c r="C274" s="997"/>
      <c r="D274" s="997"/>
      <c r="E274" s="1035">
        <f t="shared" si="29"/>
        <v>0</v>
      </c>
      <c r="F274" s="1036">
        <f t="shared" si="30"/>
        <v>0</v>
      </c>
      <c r="G274" s="1037">
        <f>(F274*0.25*'Emission Factors'!$D$362)+(F274*0.75*'Emission Factors'!$D$471)*0.001</f>
        <v>0</v>
      </c>
    </row>
    <row r="275" spans="1:17">
      <c r="A275" s="768"/>
      <c r="B275" s="997"/>
      <c r="C275" s="997"/>
      <c r="D275" s="997"/>
      <c r="E275" s="1035">
        <f t="shared" si="29"/>
        <v>0</v>
      </c>
      <c r="F275" s="1036">
        <f t="shared" si="30"/>
        <v>0</v>
      </c>
      <c r="G275" s="1037">
        <f>(F275*0.25*'Emission Factors'!$D$362)+(F275*0.75*'Emission Factors'!$D$471)*0.001</f>
        <v>0</v>
      </c>
    </row>
    <row r="276" spans="1:17">
      <c r="A276" s="768"/>
      <c r="B276" s="997"/>
      <c r="C276" s="997"/>
      <c r="D276" s="997"/>
      <c r="E276" s="1035">
        <f t="shared" si="29"/>
        <v>0</v>
      </c>
      <c r="F276" s="1036">
        <f t="shared" si="30"/>
        <v>0</v>
      </c>
      <c r="G276" s="1037">
        <f>(F276*0.25*'Emission Factors'!$D$362)+(F276*0.75*'Emission Factors'!$D$471)*0.001</f>
        <v>0</v>
      </c>
    </row>
    <row r="277" spans="1:17" s="743" customFormat="1" ht="23.25" customHeight="1" thickBot="1">
      <c r="A277" s="2097" t="s">
        <v>957</v>
      </c>
      <c r="B277" s="2098"/>
      <c r="C277" s="2098"/>
      <c r="D277" s="2098"/>
      <c r="E277" s="2098"/>
      <c r="F277" s="2098"/>
      <c r="G277" s="2098"/>
      <c r="H277" s="1034"/>
      <c r="I277" s="1034"/>
      <c r="J277" s="1034"/>
      <c r="K277" s="1034"/>
      <c r="L277" s="1034"/>
      <c r="M277" s="1034"/>
      <c r="N277" s="1034"/>
      <c r="O277" s="1034"/>
      <c r="P277" s="1034"/>
      <c r="Q277" s="1034"/>
    </row>
    <row r="278" spans="1:17" ht="31.5">
      <c r="A278" s="912" t="s">
        <v>945</v>
      </c>
      <c r="B278" s="912" t="s">
        <v>946</v>
      </c>
      <c r="C278" s="912" t="s">
        <v>947</v>
      </c>
      <c r="D278" s="912" t="s">
        <v>948</v>
      </c>
      <c r="E278" s="912" t="s">
        <v>949</v>
      </c>
      <c r="F278" s="748" t="s">
        <v>950</v>
      </c>
      <c r="G278" s="983" t="s">
        <v>951</v>
      </c>
    </row>
    <row r="279" spans="1:17">
      <c r="A279" s="768"/>
      <c r="B279" s="997"/>
      <c r="C279" s="997"/>
      <c r="D279" s="997"/>
      <c r="E279" s="1035">
        <f t="shared" ref="E279:E283" si="31">(B279*D279)/1000</f>
        <v>0</v>
      </c>
      <c r="F279" s="1036">
        <f t="shared" ref="F279:F283" si="32">E279*C279</f>
        <v>0</v>
      </c>
      <c r="G279" s="1037">
        <f>(F279*0.25*'Emission Factors'!$D$507)+(F279*0.75*'Emission Factors'!$D$471)*0.001</f>
        <v>0</v>
      </c>
    </row>
    <row r="280" spans="1:17">
      <c r="A280" s="768"/>
      <c r="B280" s="997"/>
      <c r="C280" s="997"/>
      <c r="D280" s="997"/>
      <c r="E280" s="1035">
        <f t="shared" si="31"/>
        <v>0</v>
      </c>
      <c r="F280" s="1036">
        <f t="shared" si="32"/>
        <v>0</v>
      </c>
      <c r="G280" s="1037">
        <f>(F280*0.25*'Emission Factors'!$D$507)+(F280*0.75*'Emission Factors'!$D$471)*0.001</f>
        <v>0</v>
      </c>
    </row>
    <row r="281" spans="1:17">
      <c r="A281" s="768"/>
      <c r="B281" s="997"/>
      <c r="C281" s="997"/>
      <c r="D281" s="997"/>
      <c r="E281" s="1035">
        <f t="shared" si="31"/>
        <v>0</v>
      </c>
      <c r="F281" s="1036">
        <f t="shared" si="32"/>
        <v>0</v>
      </c>
      <c r="G281" s="1037">
        <f>(F281*0.25*'Emission Factors'!$D$507)+(F281*0.75*'Emission Factors'!$D$471)*0.001</f>
        <v>0</v>
      </c>
    </row>
    <row r="282" spans="1:17">
      <c r="A282" s="768"/>
      <c r="B282" s="997"/>
      <c r="C282" s="997"/>
      <c r="D282" s="997"/>
      <c r="E282" s="1035">
        <f t="shared" si="31"/>
        <v>0</v>
      </c>
      <c r="F282" s="1036">
        <f t="shared" si="32"/>
        <v>0</v>
      </c>
      <c r="G282" s="1037">
        <f>(F282*0.25*'Emission Factors'!$D$507)+(F282*0.75*'Emission Factors'!$D$471)*0.001</f>
        <v>0</v>
      </c>
    </row>
    <row r="283" spans="1:17">
      <c r="A283" s="768"/>
      <c r="B283" s="997"/>
      <c r="C283" s="997"/>
      <c r="D283" s="997"/>
      <c r="E283" s="1035">
        <f t="shared" si="31"/>
        <v>0</v>
      </c>
      <c r="F283" s="1036">
        <f t="shared" si="32"/>
        <v>0</v>
      </c>
      <c r="G283" s="1037">
        <f>(F283*0.25*'Emission Factors'!$D$507)+(F283*0.75*'Emission Factors'!$D$471)*0.001</f>
        <v>0</v>
      </c>
    </row>
    <row r="284" spans="1:17">
      <c r="A284" s="768"/>
      <c r="B284" s="997"/>
      <c r="C284" s="997"/>
      <c r="D284" s="997"/>
      <c r="E284" s="1035">
        <f t="shared" ref="E284:E288" si="33">(B284*D284)/1000</f>
        <v>0</v>
      </c>
      <c r="F284" s="1036">
        <f t="shared" ref="F284:F288" si="34">E284*C284</f>
        <v>0</v>
      </c>
      <c r="G284" s="1037">
        <f>(F284*0.25*'Emission Factors'!$D$507)+(F284*0.75*'Emission Factors'!$D$471)*0.001</f>
        <v>0</v>
      </c>
    </row>
    <row r="285" spans="1:17">
      <c r="A285" s="768"/>
      <c r="B285" s="997"/>
      <c r="C285" s="997"/>
      <c r="D285" s="997"/>
      <c r="E285" s="1035">
        <f t="shared" si="33"/>
        <v>0</v>
      </c>
      <c r="F285" s="1036">
        <f t="shared" si="34"/>
        <v>0</v>
      </c>
      <c r="G285" s="1037">
        <f>(F285*0.25*'Emission Factors'!$D$507)+(F285*0.75*'Emission Factors'!$D$471)*0.001</f>
        <v>0</v>
      </c>
    </row>
    <row r="286" spans="1:17">
      <c r="A286" s="768"/>
      <c r="B286" s="997"/>
      <c r="C286" s="997"/>
      <c r="D286" s="997"/>
      <c r="E286" s="1035">
        <f t="shared" si="33"/>
        <v>0</v>
      </c>
      <c r="F286" s="1036">
        <f t="shared" si="34"/>
        <v>0</v>
      </c>
      <c r="G286" s="1037">
        <f>(F286*0.25*'Emission Factors'!$D$507)+(F286*0.75*'Emission Factors'!$D$471)*0.001</f>
        <v>0</v>
      </c>
    </row>
    <row r="287" spans="1:17">
      <c r="A287" s="768"/>
      <c r="B287" s="997"/>
      <c r="C287" s="997"/>
      <c r="D287" s="997"/>
      <c r="E287" s="1035">
        <f t="shared" si="33"/>
        <v>0</v>
      </c>
      <c r="F287" s="1036">
        <f t="shared" si="34"/>
        <v>0</v>
      </c>
      <c r="G287" s="1037">
        <f>(F287*0.25*'Emission Factors'!$D$507)+(F287*0.75*'Emission Factors'!$D$471)*0.001</f>
        <v>0</v>
      </c>
    </row>
    <row r="288" spans="1:17">
      <c r="A288" s="768"/>
      <c r="B288" s="997"/>
      <c r="C288" s="997"/>
      <c r="D288" s="997"/>
      <c r="E288" s="1035">
        <f t="shared" si="33"/>
        <v>0</v>
      </c>
      <c r="F288" s="1036">
        <f t="shared" si="34"/>
        <v>0</v>
      </c>
      <c r="G288" s="1037">
        <f>(F288*0.25*'Emission Factors'!$D$507)+(F288*0.75*'Emission Factors'!$D$471)*0.001</f>
        <v>0</v>
      </c>
    </row>
    <row r="289" spans="1:17">
      <c r="A289" s="720" t="s">
        <v>958</v>
      </c>
      <c r="B289" s="711"/>
      <c r="C289" s="711"/>
      <c r="D289" s="711"/>
      <c r="E289" s="711" t="s">
        <v>403</v>
      </c>
      <c r="F289" s="711"/>
      <c r="G289" s="711"/>
      <c r="H289" s="711"/>
      <c r="I289" s="711"/>
      <c r="J289" s="809"/>
      <c r="K289" s="809"/>
    </row>
    <row r="290" spans="1:17">
      <c r="A290" s="720"/>
      <c r="B290" s="711"/>
      <c r="C290" s="711"/>
      <c r="D290" s="711"/>
      <c r="E290" s="711"/>
      <c r="F290" s="711"/>
      <c r="G290" s="711"/>
      <c r="H290" s="711"/>
      <c r="I290" s="711"/>
      <c r="J290" s="809"/>
      <c r="K290" s="809"/>
    </row>
    <row r="292" spans="1:17" s="743" customFormat="1" ht="24" customHeight="1" thickBot="1">
      <c r="A292" s="2094" t="s">
        <v>959</v>
      </c>
      <c r="B292" s="2095"/>
      <c r="C292" s="2095"/>
      <c r="D292" s="2095"/>
      <c r="E292" s="2095"/>
      <c r="F292" s="2095"/>
      <c r="G292" s="2096"/>
    </row>
    <row r="293" spans="1:17" ht="90.6" customHeight="1">
      <c r="A293" s="912"/>
      <c r="B293" s="912" t="s">
        <v>774</v>
      </c>
      <c r="C293" s="912" t="s">
        <v>960</v>
      </c>
      <c r="D293" s="912" t="s">
        <v>961</v>
      </c>
      <c r="E293" s="912" t="s">
        <v>962</v>
      </c>
      <c r="F293" s="912" t="s">
        <v>963</v>
      </c>
      <c r="G293" s="1039" t="s">
        <v>964</v>
      </c>
      <c r="H293" s="913" t="s">
        <v>702</v>
      </c>
    </row>
    <row r="294" spans="1:17" ht="16.5" thickBot="1">
      <c r="A294" s="697" t="s">
        <v>965</v>
      </c>
      <c r="B294" s="768"/>
      <c r="C294" s="1035">
        <f>B294*2.20462</f>
        <v>0</v>
      </c>
      <c r="D294" s="1035">
        <f>D296</f>
        <v>4.0999999999999996</v>
      </c>
      <c r="E294" s="1035">
        <f>C294/D294</f>
        <v>0</v>
      </c>
      <c r="F294" s="1040">
        <v>3.3</v>
      </c>
      <c r="G294" s="1041">
        <f>E294*F294</f>
        <v>0</v>
      </c>
      <c r="H294" s="1042">
        <f>G294*0.000453591</f>
        <v>0</v>
      </c>
    </row>
    <row r="296" spans="1:17">
      <c r="C296" s="694" t="s">
        <v>966</v>
      </c>
      <c r="D296" s="1040">
        <v>4.0999999999999996</v>
      </c>
    </row>
    <row r="297" spans="1:17">
      <c r="C297" s="694" t="s">
        <v>967</v>
      </c>
      <c r="D297" s="1043" t="s">
        <v>968</v>
      </c>
    </row>
    <row r="300" spans="1:17" s="740" customFormat="1" ht="36">
      <c r="A300" s="2009" t="s">
        <v>148</v>
      </c>
      <c r="B300" s="2010"/>
      <c r="C300" s="2010"/>
      <c r="D300" s="2010"/>
      <c r="E300" s="2010"/>
      <c r="F300" s="2010"/>
      <c r="G300" s="2010"/>
      <c r="H300" s="2010"/>
      <c r="I300" s="2010"/>
      <c r="J300" s="2010"/>
      <c r="K300" s="2010"/>
      <c r="L300" s="2010"/>
      <c r="M300" s="2010"/>
      <c r="N300" s="2010"/>
      <c r="O300" s="2010"/>
      <c r="P300" s="2010"/>
      <c r="Q300" s="2011"/>
    </row>
    <row r="301" spans="1:17" ht="19.5" thickBot="1">
      <c r="A301" s="1044" t="s">
        <v>969</v>
      </c>
      <c r="B301" s="680"/>
      <c r="C301" s="680"/>
      <c r="D301" s="680"/>
      <c r="E301" s="680"/>
      <c r="F301" s="680"/>
      <c r="G301" s="680"/>
      <c r="H301" s="680"/>
      <c r="I301" s="680"/>
      <c r="J301" s="680"/>
      <c r="K301" s="680"/>
      <c r="L301" s="680"/>
      <c r="M301" s="680"/>
      <c r="N301" s="680"/>
      <c r="O301" s="680"/>
      <c r="P301" s="680"/>
      <c r="Q301" s="680"/>
    </row>
    <row r="303" spans="1:17" s="743" customFormat="1" ht="23.25">
      <c r="B303" s="1991" t="s">
        <v>427</v>
      </c>
      <c r="C303" s="1992"/>
    </row>
    <row r="304" spans="1:17" s="743" customFormat="1" ht="24" thickBot="1">
      <c r="A304" s="2075" t="s">
        <v>944</v>
      </c>
      <c r="B304" s="2076"/>
      <c r="C304" s="2076"/>
      <c r="D304" s="2076"/>
      <c r="E304" s="2076"/>
      <c r="F304" s="2076"/>
      <c r="G304" s="2076"/>
      <c r="H304" s="2076"/>
      <c r="I304" s="2076"/>
      <c r="J304" s="2076"/>
      <c r="K304" s="2076"/>
      <c r="L304" s="2076"/>
      <c r="M304" s="2076"/>
      <c r="N304" s="2076"/>
      <c r="O304" s="2076"/>
    </row>
    <row r="305" spans="1:6" ht="31.5">
      <c r="A305" s="748" t="s">
        <v>945</v>
      </c>
      <c r="B305" s="748" t="s">
        <v>947</v>
      </c>
      <c r="C305" s="748" t="s">
        <v>970</v>
      </c>
      <c r="D305" s="748" t="s">
        <v>949</v>
      </c>
      <c r="E305" s="748" t="s">
        <v>950</v>
      </c>
      <c r="F305" s="913" t="s">
        <v>702</v>
      </c>
    </row>
    <row r="306" spans="1:6">
      <c r="A306" s="768"/>
      <c r="B306" s="997"/>
      <c r="C306" s="915"/>
      <c r="D306" s="1045">
        <f t="shared" ref="D306:D321" si="35">C306/1000</f>
        <v>0</v>
      </c>
      <c r="E306" s="1036">
        <f>D306*B306</f>
        <v>0</v>
      </c>
      <c r="F306" s="1037">
        <f>'Emission Factors'!$D$362*E306*0.001</f>
        <v>0</v>
      </c>
    </row>
    <row r="307" spans="1:6">
      <c r="A307" s="768"/>
      <c r="B307" s="997"/>
      <c r="C307" s="915"/>
      <c r="D307" s="1045">
        <f t="shared" si="35"/>
        <v>0</v>
      </c>
      <c r="E307" s="1036">
        <f t="shared" ref="E306:E321" si="36">D307*B307</f>
        <v>0</v>
      </c>
      <c r="F307" s="1037">
        <f>'Emission Factors'!$D$362*E307*0.001</f>
        <v>0</v>
      </c>
    </row>
    <row r="308" spans="1:6">
      <c r="A308" s="768"/>
      <c r="B308" s="997"/>
      <c r="C308" s="915"/>
      <c r="D308" s="1045">
        <f t="shared" si="35"/>
        <v>0</v>
      </c>
      <c r="E308" s="1036">
        <f t="shared" si="36"/>
        <v>0</v>
      </c>
      <c r="F308" s="1037">
        <f>'Emission Factors'!$D$362*E308*0.001</f>
        <v>0</v>
      </c>
    </row>
    <row r="309" spans="1:6">
      <c r="A309" s="768"/>
      <c r="B309" s="997"/>
      <c r="C309" s="915"/>
      <c r="D309" s="1045">
        <f t="shared" si="35"/>
        <v>0</v>
      </c>
      <c r="E309" s="1036">
        <f t="shared" si="36"/>
        <v>0</v>
      </c>
      <c r="F309" s="1037">
        <f>'Emission Factors'!$D$362*E309*0.001</f>
        <v>0</v>
      </c>
    </row>
    <row r="310" spans="1:6">
      <c r="A310" s="768"/>
      <c r="B310" s="997"/>
      <c r="C310" s="768"/>
      <c r="D310" s="1045">
        <f t="shared" si="35"/>
        <v>0</v>
      </c>
      <c r="E310" s="1036">
        <f t="shared" si="36"/>
        <v>0</v>
      </c>
      <c r="F310" s="1037">
        <f>'Emission Factors'!$D$362*E310*0.001</f>
        <v>0</v>
      </c>
    </row>
    <row r="311" spans="1:6">
      <c r="A311" s="768"/>
      <c r="B311" s="997"/>
      <c r="C311" s="768"/>
      <c r="D311" s="1045">
        <f t="shared" si="35"/>
        <v>0</v>
      </c>
      <c r="E311" s="1036">
        <f t="shared" si="36"/>
        <v>0</v>
      </c>
      <c r="F311" s="1037">
        <f>'Emission Factors'!$D$362*E311*0.001</f>
        <v>0</v>
      </c>
    </row>
    <row r="312" spans="1:6">
      <c r="A312" s="768"/>
      <c r="B312" s="997"/>
      <c r="C312" s="768"/>
      <c r="D312" s="1045">
        <f t="shared" si="35"/>
        <v>0</v>
      </c>
      <c r="E312" s="1036">
        <f t="shared" si="36"/>
        <v>0</v>
      </c>
      <c r="F312" s="1037">
        <f>'Emission Factors'!$D$362*E312*0.001</f>
        <v>0</v>
      </c>
    </row>
    <row r="313" spans="1:6">
      <c r="A313" s="768"/>
      <c r="B313" s="997"/>
      <c r="C313" s="768"/>
      <c r="D313" s="1045">
        <f t="shared" si="35"/>
        <v>0</v>
      </c>
      <c r="E313" s="1036">
        <f t="shared" si="36"/>
        <v>0</v>
      </c>
      <c r="F313" s="1037">
        <f>'Emission Factors'!$D$362*E313*0.001</f>
        <v>0</v>
      </c>
    </row>
    <row r="314" spans="1:6">
      <c r="A314" s="768"/>
      <c r="B314" s="997"/>
      <c r="C314" s="768"/>
      <c r="D314" s="1045">
        <f t="shared" si="35"/>
        <v>0</v>
      </c>
      <c r="E314" s="1036">
        <f t="shared" si="36"/>
        <v>0</v>
      </c>
      <c r="F314" s="1037">
        <f>'Emission Factors'!$D$362*E314*0.001</f>
        <v>0</v>
      </c>
    </row>
    <row r="315" spans="1:6">
      <c r="A315" s="768"/>
      <c r="B315" s="997"/>
      <c r="C315" s="768"/>
      <c r="D315" s="1045">
        <f t="shared" si="35"/>
        <v>0</v>
      </c>
      <c r="E315" s="1036">
        <f t="shared" si="36"/>
        <v>0</v>
      </c>
      <c r="F315" s="1037">
        <f>'Emission Factors'!$D$362*E315*0.001</f>
        <v>0</v>
      </c>
    </row>
    <row r="316" spans="1:6">
      <c r="A316" s="768"/>
      <c r="B316" s="997"/>
      <c r="C316" s="768"/>
      <c r="D316" s="1045">
        <f t="shared" si="35"/>
        <v>0</v>
      </c>
      <c r="E316" s="1036">
        <f t="shared" si="36"/>
        <v>0</v>
      </c>
      <c r="F316" s="1037">
        <f>'Emission Factors'!$D$362*E316*0.001</f>
        <v>0</v>
      </c>
    </row>
    <row r="317" spans="1:6">
      <c r="A317" s="768"/>
      <c r="B317" s="768"/>
      <c r="C317" s="768"/>
      <c r="D317" s="1045">
        <f t="shared" si="35"/>
        <v>0</v>
      </c>
      <c r="E317" s="1036">
        <f t="shared" si="36"/>
        <v>0</v>
      </c>
      <c r="F317" s="1037">
        <f>'Emission Factors'!$D$362*E317*0.001</f>
        <v>0</v>
      </c>
    </row>
    <row r="318" spans="1:6">
      <c r="A318" s="768"/>
      <c r="B318" s="997"/>
      <c r="C318" s="997"/>
      <c r="D318" s="1045">
        <f t="shared" si="35"/>
        <v>0</v>
      </c>
      <c r="E318" s="1036">
        <f t="shared" si="36"/>
        <v>0</v>
      </c>
      <c r="F318" s="1037">
        <f>'Emission Factors'!$D$362*E318*0.001</f>
        <v>0</v>
      </c>
    </row>
    <row r="319" spans="1:6">
      <c r="A319" s="768"/>
      <c r="B319" s="997"/>
      <c r="C319" s="997"/>
      <c r="D319" s="1045">
        <f t="shared" si="35"/>
        <v>0</v>
      </c>
      <c r="E319" s="1036">
        <f t="shared" si="36"/>
        <v>0</v>
      </c>
      <c r="F319" s="1037">
        <f>'Emission Factors'!$D$362*E319*0.001</f>
        <v>0</v>
      </c>
    </row>
    <row r="320" spans="1:6">
      <c r="A320" s="768"/>
      <c r="B320" s="997"/>
      <c r="C320" s="997"/>
      <c r="D320" s="1045">
        <f t="shared" si="35"/>
        <v>0</v>
      </c>
      <c r="E320" s="1036">
        <f t="shared" si="36"/>
        <v>0</v>
      </c>
      <c r="F320" s="1037">
        <f>'Emission Factors'!$D$362*E320*0.001</f>
        <v>0</v>
      </c>
    </row>
    <row r="321" spans="1:15">
      <c r="A321" s="768"/>
      <c r="B321" s="997"/>
      <c r="C321" s="997"/>
      <c r="D321" s="1045">
        <f t="shared" si="35"/>
        <v>0</v>
      </c>
      <c r="E321" s="1036">
        <f t="shared" si="36"/>
        <v>0</v>
      </c>
      <c r="F321" s="1037">
        <f>'Emission Factors'!$D$362*E321*0.001</f>
        <v>0</v>
      </c>
    </row>
    <row r="322" spans="1:15">
      <c r="A322" s="768"/>
      <c r="B322" s="997"/>
      <c r="C322" s="997"/>
      <c r="D322" s="1045">
        <f t="shared" ref="D322:D328" si="37">C322/1000</f>
        <v>0</v>
      </c>
      <c r="E322" s="1036">
        <f t="shared" ref="E322:E328" si="38">D322*B322</f>
        <v>0</v>
      </c>
      <c r="F322" s="1037">
        <f>'Emission Factors'!$D$362*E322*0.001</f>
        <v>0</v>
      </c>
    </row>
    <row r="323" spans="1:15">
      <c r="A323" s="768"/>
      <c r="B323" s="997"/>
      <c r="C323" s="915"/>
      <c r="D323" s="1045">
        <f t="shared" si="37"/>
        <v>0</v>
      </c>
      <c r="E323" s="1036">
        <f t="shared" si="38"/>
        <v>0</v>
      </c>
      <c r="F323" s="1037">
        <f>'Emission Factors'!$D$362*E323*0.001</f>
        <v>0</v>
      </c>
    </row>
    <row r="324" spans="1:15">
      <c r="A324" s="768"/>
      <c r="B324" s="997"/>
      <c r="C324" s="915"/>
      <c r="D324" s="1045">
        <f t="shared" si="37"/>
        <v>0</v>
      </c>
      <c r="E324" s="1036">
        <f t="shared" si="38"/>
        <v>0</v>
      </c>
      <c r="F324" s="1037">
        <f>'Emission Factors'!$D$362*E324*0.001</f>
        <v>0</v>
      </c>
    </row>
    <row r="325" spans="1:15">
      <c r="A325" s="768"/>
      <c r="B325" s="997"/>
      <c r="C325" s="915"/>
      <c r="D325" s="1045">
        <f t="shared" si="37"/>
        <v>0</v>
      </c>
      <c r="E325" s="1036">
        <f t="shared" si="38"/>
        <v>0</v>
      </c>
      <c r="F325" s="1037">
        <f>'Emission Factors'!$D$362*E325*0.001</f>
        <v>0</v>
      </c>
    </row>
    <row r="326" spans="1:15">
      <c r="A326" s="768"/>
      <c r="B326" s="997"/>
      <c r="C326" s="915"/>
      <c r="D326" s="1045">
        <f t="shared" si="37"/>
        <v>0</v>
      </c>
      <c r="E326" s="1036">
        <f t="shared" si="38"/>
        <v>0</v>
      </c>
      <c r="F326" s="1037">
        <f>'Emission Factors'!$D$362*E326*0.001</f>
        <v>0</v>
      </c>
    </row>
    <row r="327" spans="1:15">
      <c r="A327" s="768"/>
      <c r="B327" s="997"/>
      <c r="C327" s="915"/>
      <c r="D327" s="1045">
        <f t="shared" si="37"/>
        <v>0</v>
      </c>
      <c r="E327" s="1036">
        <f t="shared" si="38"/>
        <v>0</v>
      </c>
      <c r="F327" s="1037">
        <f>'Emission Factors'!$D$362*E327*0.001</f>
        <v>0</v>
      </c>
    </row>
    <row r="328" spans="1:15">
      <c r="A328" s="768"/>
      <c r="B328" s="997"/>
      <c r="C328" s="915"/>
      <c r="D328" s="1045">
        <f t="shared" si="37"/>
        <v>0</v>
      </c>
      <c r="E328" s="1036">
        <f t="shared" si="38"/>
        <v>0</v>
      </c>
      <c r="F328" s="1037">
        <f>'Emission Factors'!$D$362*E328*0.001</f>
        <v>0</v>
      </c>
    </row>
    <row r="329" spans="1:15" s="743" customFormat="1" ht="24" thickBot="1">
      <c r="A329" s="2075" t="s">
        <v>952</v>
      </c>
      <c r="B329" s="2076"/>
      <c r="C329" s="2076"/>
      <c r="D329" s="2076"/>
      <c r="E329" s="2076"/>
      <c r="F329" s="2076"/>
      <c r="G329" s="2076"/>
      <c r="H329" s="2076"/>
      <c r="I329" s="2076"/>
      <c r="J329" s="2076"/>
      <c r="K329" s="2076"/>
      <c r="L329" s="2076"/>
      <c r="M329" s="2076"/>
      <c r="N329" s="2076"/>
      <c r="O329" s="2076"/>
    </row>
    <row r="330" spans="1:15" ht="31.5">
      <c r="A330" s="748" t="s">
        <v>945</v>
      </c>
      <c r="B330" s="748" t="s">
        <v>947</v>
      </c>
      <c r="C330" s="748" t="s">
        <v>970</v>
      </c>
      <c r="D330" s="748" t="s">
        <v>949</v>
      </c>
      <c r="E330" s="748" t="s">
        <v>950</v>
      </c>
      <c r="F330" s="913" t="s">
        <v>702</v>
      </c>
    </row>
    <row r="331" spans="1:15">
      <c r="A331" s="768"/>
      <c r="B331" s="997"/>
      <c r="C331" s="915"/>
      <c r="D331" s="1045">
        <f>C331/1000</f>
        <v>0</v>
      </c>
      <c r="E331" s="1036">
        <f>D331*B331</f>
        <v>0</v>
      </c>
      <c r="F331" s="1037">
        <f>'Emission Factors'!$D$507*E331*0.001</f>
        <v>0</v>
      </c>
    </row>
    <row r="332" spans="1:15">
      <c r="A332" s="768"/>
      <c r="B332" s="997"/>
      <c r="C332" s="915"/>
      <c r="D332" s="1045">
        <f t="shared" ref="D332:D338" si="39">C332/1000</f>
        <v>0</v>
      </c>
      <c r="E332" s="1036">
        <f t="shared" ref="E332:E338" si="40">D332*B332</f>
        <v>0</v>
      </c>
      <c r="F332" s="1037">
        <f>'Emission Factors'!$D$507*E332*0.001</f>
        <v>0</v>
      </c>
    </row>
    <row r="333" spans="1:15">
      <c r="A333" s="768"/>
      <c r="B333" s="997"/>
      <c r="C333" s="915"/>
      <c r="D333" s="1045">
        <f t="shared" si="39"/>
        <v>0</v>
      </c>
      <c r="E333" s="1036">
        <f t="shared" si="40"/>
        <v>0</v>
      </c>
      <c r="F333" s="1037">
        <f>'Emission Factors'!$D$507*E333*0.001</f>
        <v>0</v>
      </c>
    </row>
    <row r="334" spans="1:15">
      <c r="A334" s="768"/>
      <c r="B334" s="997"/>
      <c r="C334" s="915"/>
      <c r="D334" s="1045">
        <f t="shared" si="39"/>
        <v>0</v>
      </c>
      <c r="E334" s="1036">
        <f t="shared" si="40"/>
        <v>0</v>
      </c>
      <c r="F334" s="1037">
        <f>'Emission Factors'!$D$507*E334*0.001</f>
        <v>0</v>
      </c>
    </row>
    <row r="335" spans="1:15">
      <c r="A335" s="768"/>
      <c r="B335" s="997"/>
      <c r="C335" s="915"/>
      <c r="D335" s="1045">
        <f t="shared" si="39"/>
        <v>0</v>
      </c>
      <c r="E335" s="1036">
        <f t="shared" si="40"/>
        <v>0</v>
      </c>
      <c r="F335" s="1037">
        <f>'Emission Factors'!$D$507*E335*0.001</f>
        <v>0</v>
      </c>
    </row>
    <row r="336" spans="1:15">
      <c r="A336" s="768"/>
      <c r="B336" s="997"/>
      <c r="C336" s="915"/>
      <c r="D336" s="1045">
        <f t="shared" si="39"/>
        <v>0</v>
      </c>
      <c r="E336" s="1036">
        <f t="shared" si="40"/>
        <v>0</v>
      </c>
      <c r="F336" s="1037">
        <f>'Emission Factors'!$D$507*E336*0.001</f>
        <v>0</v>
      </c>
    </row>
    <row r="337" spans="1:15">
      <c r="A337" s="768"/>
      <c r="B337" s="997"/>
      <c r="C337" s="915"/>
      <c r="D337" s="1045">
        <f t="shared" si="39"/>
        <v>0</v>
      </c>
      <c r="E337" s="1036">
        <f t="shared" si="40"/>
        <v>0</v>
      </c>
      <c r="F337" s="1037">
        <f>'Emission Factors'!$D$507*E337*0.001</f>
        <v>0</v>
      </c>
    </row>
    <row r="338" spans="1:15">
      <c r="A338" s="768"/>
      <c r="B338" s="997"/>
      <c r="C338" s="915"/>
      <c r="D338" s="1045">
        <f t="shared" si="39"/>
        <v>0</v>
      </c>
      <c r="E338" s="1036">
        <f t="shared" si="40"/>
        <v>0</v>
      </c>
      <c r="F338" s="1037">
        <f>'Emission Factors'!$D$507*E338*0.001</f>
        <v>0</v>
      </c>
    </row>
    <row r="339" spans="1:15" s="743" customFormat="1" ht="24" customHeight="1" thickBot="1">
      <c r="A339" s="2075" t="s">
        <v>953</v>
      </c>
      <c r="B339" s="2076"/>
      <c r="C339" s="2076"/>
      <c r="D339" s="2076"/>
      <c r="E339" s="2076"/>
      <c r="F339" s="2076"/>
      <c r="G339" s="2076"/>
      <c r="H339" s="2076"/>
      <c r="I339" s="2076"/>
      <c r="J339" s="2076"/>
      <c r="K339" s="2076"/>
      <c r="L339" s="2076"/>
      <c r="M339" s="2076"/>
      <c r="N339" s="2076"/>
      <c r="O339" s="2076"/>
    </row>
    <row r="340" spans="1:15" ht="31.5">
      <c r="A340" s="912" t="s">
        <v>945</v>
      </c>
      <c r="B340" s="912" t="s">
        <v>947</v>
      </c>
      <c r="C340" s="912" t="s">
        <v>970</v>
      </c>
      <c r="D340" s="912" t="s">
        <v>949</v>
      </c>
      <c r="E340" s="748" t="s">
        <v>950</v>
      </c>
      <c r="F340" s="913" t="s">
        <v>702</v>
      </c>
    </row>
    <row r="341" spans="1:15">
      <c r="A341" s="768"/>
      <c r="B341" s="997"/>
      <c r="C341" s="915"/>
      <c r="D341" s="1045">
        <f>C341/1000</f>
        <v>0</v>
      </c>
      <c r="E341" s="1036">
        <f>D341*B341</f>
        <v>0</v>
      </c>
      <c r="F341" s="1037">
        <f>(E341*0.5*'Emission Factors'!$D$362)+(E341*0.5*'Emission Factors'!$D$507)*0.001</f>
        <v>0</v>
      </c>
    </row>
    <row r="342" spans="1:15">
      <c r="A342" s="768"/>
      <c r="B342" s="997"/>
      <c r="C342" s="915"/>
      <c r="D342" s="1045">
        <f t="shared" ref="D342:D348" si="41">C342/1000</f>
        <v>0</v>
      </c>
      <c r="E342" s="1036">
        <f t="shared" ref="E342:E348" si="42">D342*B342</f>
        <v>0</v>
      </c>
      <c r="F342" s="1037">
        <f>(E342*0.5*'Emission Factors'!$D$362)+(E342*0.5*'Emission Factors'!$D$507)*0.001</f>
        <v>0</v>
      </c>
    </row>
    <row r="343" spans="1:15">
      <c r="A343" s="768"/>
      <c r="B343" s="997"/>
      <c r="C343" s="915"/>
      <c r="D343" s="1045">
        <f t="shared" si="41"/>
        <v>0</v>
      </c>
      <c r="E343" s="1036">
        <f t="shared" si="42"/>
        <v>0</v>
      </c>
      <c r="F343" s="1037">
        <f>(E343*0.5*'Emission Factors'!$D$362)+(E343*0.5*'Emission Factors'!$D$507)*0.001</f>
        <v>0</v>
      </c>
    </row>
    <row r="344" spans="1:15">
      <c r="A344" s="768"/>
      <c r="B344" s="997"/>
      <c r="C344" s="915"/>
      <c r="D344" s="1045">
        <f t="shared" si="41"/>
        <v>0</v>
      </c>
      <c r="E344" s="1036">
        <f t="shared" si="42"/>
        <v>0</v>
      </c>
      <c r="F344" s="1037">
        <f>(E344*0.5*'Emission Factors'!$D$362)+(E344*0.5*'Emission Factors'!$D$507)*0.001</f>
        <v>0</v>
      </c>
    </row>
    <row r="345" spans="1:15">
      <c r="A345" s="768"/>
      <c r="B345" s="997"/>
      <c r="C345" s="915"/>
      <c r="D345" s="1045">
        <f t="shared" si="41"/>
        <v>0</v>
      </c>
      <c r="E345" s="1036">
        <f t="shared" si="42"/>
        <v>0</v>
      </c>
      <c r="F345" s="1037">
        <f>(E345*0.5*'Emission Factors'!$D$362)+(E345*0.5*'Emission Factors'!$D$507)*0.001</f>
        <v>0</v>
      </c>
    </row>
    <row r="346" spans="1:15">
      <c r="A346" s="768"/>
      <c r="B346" s="997"/>
      <c r="C346" s="915"/>
      <c r="D346" s="1045">
        <f t="shared" si="41"/>
        <v>0</v>
      </c>
      <c r="E346" s="1036">
        <f t="shared" si="42"/>
        <v>0</v>
      </c>
      <c r="F346" s="1037">
        <f>(E346*0.5*'Emission Factors'!$D$362)+(E346*0.5*'Emission Factors'!$D$507)*0.001</f>
        <v>0</v>
      </c>
    </row>
    <row r="347" spans="1:15">
      <c r="A347" s="768"/>
      <c r="B347" s="997"/>
      <c r="C347" s="915"/>
      <c r="D347" s="1045">
        <f t="shared" si="41"/>
        <v>0</v>
      </c>
      <c r="E347" s="1036">
        <f t="shared" si="42"/>
        <v>0</v>
      </c>
      <c r="F347" s="1037">
        <f>(E347*0.5*'Emission Factors'!$D$362)+(E347*0.5*'Emission Factors'!$D$507)*0.001</f>
        <v>0</v>
      </c>
    </row>
    <row r="348" spans="1:15">
      <c r="A348" s="768"/>
      <c r="B348" s="997"/>
      <c r="C348" s="915"/>
      <c r="D348" s="1045">
        <f t="shared" si="41"/>
        <v>0</v>
      </c>
      <c r="E348" s="1036">
        <f t="shared" si="42"/>
        <v>0</v>
      </c>
      <c r="F348" s="1037">
        <f>(E348*0.5*'Emission Factors'!$D$362)+(E348*0.5*'Emission Factors'!$D$507)*0.001</f>
        <v>0</v>
      </c>
    </row>
    <row r="349" spans="1:15" s="743" customFormat="1" ht="24" customHeight="1" thickBot="1">
      <c r="A349" s="2075" t="s">
        <v>954</v>
      </c>
      <c r="B349" s="2076"/>
      <c r="C349" s="2076"/>
      <c r="D349" s="2076"/>
      <c r="E349" s="2076"/>
      <c r="F349" s="2076"/>
      <c r="G349" s="2076"/>
      <c r="H349" s="2076"/>
      <c r="I349" s="2076"/>
      <c r="J349" s="2076"/>
      <c r="K349" s="2076"/>
      <c r="L349" s="2076"/>
      <c r="M349" s="2076"/>
      <c r="N349" s="2076"/>
      <c r="O349" s="2076"/>
    </row>
    <row r="350" spans="1:15" ht="31.5">
      <c r="A350" s="912" t="s">
        <v>945</v>
      </c>
      <c r="B350" s="912" t="s">
        <v>947</v>
      </c>
      <c r="C350" s="912" t="s">
        <v>970</v>
      </c>
      <c r="D350" s="912" t="s">
        <v>949</v>
      </c>
      <c r="E350" s="748" t="s">
        <v>950</v>
      </c>
      <c r="F350" s="913" t="s">
        <v>702</v>
      </c>
    </row>
    <row r="351" spans="1:15">
      <c r="A351" s="768"/>
      <c r="B351" s="997"/>
      <c r="C351" s="915"/>
      <c r="D351" s="1045">
        <f>C351/1000</f>
        <v>0</v>
      </c>
      <c r="E351" s="1036">
        <f>D351*B351</f>
        <v>0</v>
      </c>
      <c r="F351" s="1037">
        <f>(E351*0.75*'Emission Factors'!$D$362)+(E351*0.25*'Emission Factors'!$D$507)*0.001</f>
        <v>0</v>
      </c>
    </row>
    <row r="352" spans="1:15">
      <c r="A352" s="768"/>
      <c r="B352" s="997"/>
      <c r="C352" s="915"/>
      <c r="D352" s="1045">
        <f t="shared" ref="D352:D358" si="43">C352/1000</f>
        <v>0</v>
      </c>
      <c r="E352" s="1036">
        <f t="shared" ref="E352:E358" si="44">D352*B352</f>
        <v>0</v>
      </c>
      <c r="F352" s="1037">
        <f>(E352*0.75*'Emission Factors'!$D$362)+(E352*0.25*'Emission Factors'!$D$507)*0.001</f>
        <v>0</v>
      </c>
    </row>
    <row r="353" spans="1:15">
      <c r="A353" s="768"/>
      <c r="B353" s="997"/>
      <c r="C353" s="915"/>
      <c r="D353" s="1045">
        <f t="shared" si="43"/>
        <v>0</v>
      </c>
      <c r="E353" s="1036">
        <f t="shared" si="44"/>
        <v>0</v>
      </c>
      <c r="F353" s="1037">
        <f>(E353*0.75*'Emission Factors'!$D$362)+(E353*0.25*'Emission Factors'!$D$507)*0.001</f>
        <v>0</v>
      </c>
    </row>
    <row r="354" spans="1:15">
      <c r="A354" s="768"/>
      <c r="B354" s="997"/>
      <c r="C354" s="915"/>
      <c r="D354" s="1045">
        <f t="shared" si="43"/>
        <v>0</v>
      </c>
      <c r="E354" s="1036">
        <f t="shared" si="44"/>
        <v>0</v>
      </c>
      <c r="F354" s="1037">
        <f>(E354*0.75*'Emission Factors'!$D$362)+(E354*0.25*'Emission Factors'!$D$507)*0.001</f>
        <v>0</v>
      </c>
    </row>
    <row r="355" spans="1:15">
      <c r="A355" s="768"/>
      <c r="B355" s="997"/>
      <c r="C355" s="915"/>
      <c r="D355" s="1045">
        <f t="shared" si="43"/>
        <v>0</v>
      </c>
      <c r="E355" s="1036">
        <f t="shared" si="44"/>
        <v>0</v>
      </c>
      <c r="F355" s="1037">
        <f>(E355*0.75*'Emission Factors'!$D$362)+(E355*0.25*'Emission Factors'!$D$507)*0.001</f>
        <v>0</v>
      </c>
    </row>
    <row r="356" spans="1:15">
      <c r="A356" s="768"/>
      <c r="B356" s="997"/>
      <c r="C356" s="915"/>
      <c r="D356" s="1045">
        <f t="shared" si="43"/>
        <v>0</v>
      </c>
      <c r="E356" s="1036">
        <f t="shared" si="44"/>
        <v>0</v>
      </c>
      <c r="F356" s="1037">
        <f>(E356*0.75*'Emission Factors'!$D$362)+(E356*0.25*'Emission Factors'!$D$507)*0.001</f>
        <v>0</v>
      </c>
    </row>
    <row r="357" spans="1:15">
      <c r="A357" s="768"/>
      <c r="B357" s="997"/>
      <c r="C357" s="915"/>
      <c r="D357" s="1045">
        <f t="shared" si="43"/>
        <v>0</v>
      </c>
      <c r="E357" s="1036">
        <f t="shared" si="44"/>
        <v>0</v>
      </c>
      <c r="F357" s="1037">
        <f>(E357*0.75*'Emission Factors'!$D$362)+(E357*0.25*'Emission Factors'!$D$507)*0.001</f>
        <v>0</v>
      </c>
    </row>
    <row r="358" spans="1:15">
      <c r="A358" s="768"/>
      <c r="B358" s="997"/>
      <c r="C358" s="915"/>
      <c r="D358" s="1045">
        <f t="shared" si="43"/>
        <v>0</v>
      </c>
      <c r="E358" s="1036">
        <f t="shared" si="44"/>
        <v>0</v>
      </c>
      <c r="F358" s="1037">
        <f>(E358*0.75*'Emission Factors'!$D$362)+(E358*0.25*'Emission Factors'!$D$507)*0.001</f>
        <v>0</v>
      </c>
    </row>
    <row r="359" spans="1:15" s="743" customFormat="1" ht="24" customHeight="1" thickBot="1">
      <c r="A359" s="2075" t="s">
        <v>971</v>
      </c>
      <c r="B359" s="2076"/>
      <c r="C359" s="2076"/>
      <c r="D359" s="2076"/>
      <c r="E359" s="2076"/>
      <c r="F359" s="2076"/>
      <c r="G359" s="2076"/>
      <c r="H359" s="2076"/>
      <c r="I359" s="2076"/>
      <c r="J359" s="2076"/>
      <c r="K359" s="2076"/>
      <c r="L359" s="2076"/>
      <c r="M359" s="2076"/>
      <c r="N359" s="2076"/>
      <c r="O359" s="2076"/>
    </row>
    <row r="360" spans="1:15" ht="31.5">
      <c r="A360" s="912" t="s">
        <v>945</v>
      </c>
      <c r="B360" s="912" t="s">
        <v>947</v>
      </c>
      <c r="C360" s="912" t="s">
        <v>970</v>
      </c>
      <c r="D360" s="912" t="s">
        <v>949</v>
      </c>
      <c r="E360" s="748" t="s">
        <v>950</v>
      </c>
      <c r="F360" s="913" t="s">
        <v>702</v>
      </c>
    </row>
    <row r="361" spans="1:15">
      <c r="A361" s="768"/>
      <c r="B361" s="997"/>
      <c r="C361" s="915"/>
      <c r="D361" s="1045">
        <f>C361/1000</f>
        <v>0</v>
      </c>
      <c r="E361" s="1036">
        <f>D361*B361</f>
        <v>0</v>
      </c>
      <c r="F361" s="1037">
        <f>(E361*0.25*'Emission Factors'!$D$362)+(E361*0.75*'Emission Factors'!$D$471)*0.001</f>
        <v>0</v>
      </c>
    </row>
    <row r="362" spans="1:15">
      <c r="A362" s="768"/>
      <c r="B362" s="997"/>
      <c r="C362" s="915"/>
      <c r="D362" s="1045">
        <f t="shared" ref="D362:D368" si="45">C362/1000</f>
        <v>0</v>
      </c>
      <c r="E362" s="1036">
        <f t="shared" ref="E362:E368" si="46">D362*B362</f>
        <v>0</v>
      </c>
      <c r="F362" s="1037">
        <f>(E362*0.25*'Emission Factors'!$D$362)+(E362*0.75*'Emission Factors'!$D$471)*0.001</f>
        <v>0</v>
      </c>
    </row>
    <row r="363" spans="1:15">
      <c r="A363" s="768"/>
      <c r="B363" s="997"/>
      <c r="C363" s="915"/>
      <c r="D363" s="1045">
        <f t="shared" si="45"/>
        <v>0</v>
      </c>
      <c r="E363" s="1036">
        <f t="shared" si="46"/>
        <v>0</v>
      </c>
      <c r="F363" s="1037">
        <f>(E363*0.25*'Emission Factors'!$D$362)+(E363*0.75*'Emission Factors'!$D$471)*0.001</f>
        <v>0</v>
      </c>
    </row>
    <row r="364" spans="1:15">
      <c r="A364" s="768"/>
      <c r="B364" s="997"/>
      <c r="C364" s="915"/>
      <c r="D364" s="1045">
        <f t="shared" si="45"/>
        <v>0</v>
      </c>
      <c r="E364" s="1036">
        <f t="shared" si="46"/>
        <v>0</v>
      </c>
      <c r="F364" s="1037">
        <f>(E364*0.25*'Emission Factors'!$D$362)+(E364*0.75*'Emission Factors'!$D$471)*0.001</f>
        <v>0</v>
      </c>
    </row>
    <row r="365" spans="1:15">
      <c r="A365" s="768"/>
      <c r="B365" s="997"/>
      <c r="C365" s="915"/>
      <c r="D365" s="1045">
        <f t="shared" si="45"/>
        <v>0</v>
      </c>
      <c r="E365" s="1036">
        <f t="shared" si="46"/>
        <v>0</v>
      </c>
      <c r="F365" s="1037">
        <f>(E365*0.25*'Emission Factors'!$D$362)+(E365*0.75*'Emission Factors'!$D$471)*0.001</f>
        <v>0</v>
      </c>
    </row>
    <row r="366" spans="1:15">
      <c r="A366" s="768"/>
      <c r="B366" s="997"/>
      <c r="C366" s="915"/>
      <c r="D366" s="1045">
        <f t="shared" si="45"/>
        <v>0</v>
      </c>
      <c r="E366" s="1036">
        <f t="shared" si="46"/>
        <v>0</v>
      </c>
      <c r="F366" s="1037">
        <f>(E366*0.25*'Emission Factors'!$D$362)+(E366*0.75*'Emission Factors'!$D$471)*0.001</f>
        <v>0</v>
      </c>
    </row>
    <row r="367" spans="1:15">
      <c r="A367" s="768"/>
      <c r="B367" s="997"/>
      <c r="C367" s="915"/>
      <c r="D367" s="1045">
        <f t="shared" si="45"/>
        <v>0</v>
      </c>
      <c r="E367" s="1036">
        <f t="shared" si="46"/>
        <v>0</v>
      </c>
      <c r="F367" s="1037">
        <f>(E367*0.25*'Emission Factors'!$D$362)+(E367*0.75*'Emission Factors'!$D$471)*0.001</f>
        <v>0</v>
      </c>
    </row>
    <row r="368" spans="1:15">
      <c r="A368" s="768"/>
      <c r="B368" s="997"/>
      <c r="C368" s="915"/>
      <c r="D368" s="1045">
        <f t="shared" si="45"/>
        <v>0</v>
      </c>
      <c r="E368" s="1036">
        <f t="shared" si="46"/>
        <v>0</v>
      </c>
      <c r="F368" s="1037">
        <f>(E368*0.25*'Emission Factors'!$D$362)+(E368*0.75*'Emission Factors'!$D$471)*0.001</f>
        <v>0</v>
      </c>
    </row>
    <row r="369" spans="1:35" s="743" customFormat="1" ht="24" customHeight="1" thickBot="1">
      <c r="A369" s="2075" t="s">
        <v>957</v>
      </c>
      <c r="B369" s="2076"/>
      <c r="C369" s="2076"/>
      <c r="D369" s="2076"/>
      <c r="E369" s="2076"/>
      <c r="F369" s="2076"/>
      <c r="G369" s="2076"/>
      <c r="H369" s="2076"/>
      <c r="I369" s="2076"/>
      <c r="J369" s="2076"/>
      <c r="K369" s="2076"/>
      <c r="L369" s="2076"/>
      <c r="M369" s="2076"/>
      <c r="N369" s="2076"/>
      <c r="O369" s="2076"/>
    </row>
    <row r="370" spans="1:35" ht="31.5">
      <c r="A370" s="912" t="s">
        <v>945</v>
      </c>
      <c r="B370" s="912" t="s">
        <v>947</v>
      </c>
      <c r="C370" s="912" t="s">
        <v>970</v>
      </c>
      <c r="D370" s="912" t="s">
        <v>949</v>
      </c>
      <c r="E370" s="748" t="s">
        <v>950</v>
      </c>
      <c r="F370" s="913" t="s">
        <v>702</v>
      </c>
    </row>
    <row r="371" spans="1:35">
      <c r="A371" s="768"/>
      <c r="B371" s="997"/>
      <c r="C371" s="915"/>
      <c r="D371" s="1045">
        <f>C371/1000</f>
        <v>0</v>
      </c>
      <c r="E371" s="1036">
        <f>D371*B371</f>
        <v>0</v>
      </c>
      <c r="F371" s="1037">
        <f>(E371*0.25*'Emission Factors'!$D$507)+(E371*0.75*'Emission Factors'!$D$471)*0.001</f>
        <v>0</v>
      </c>
    </row>
    <row r="372" spans="1:35">
      <c r="A372" s="768"/>
      <c r="B372" s="997"/>
      <c r="C372" s="915"/>
      <c r="D372" s="1045">
        <f t="shared" ref="D372:D378" si="47">C372/1000</f>
        <v>0</v>
      </c>
      <c r="E372" s="1036">
        <f t="shared" ref="E372:E378" si="48">D372*B372</f>
        <v>0</v>
      </c>
      <c r="F372" s="1037">
        <f>(E372*0.25*'Emission Factors'!$D$507)+(E372*0.75*'Emission Factors'!$D$471)*0.001</f>
        <v>0</v>
      </c>
    </row>
    <row r="373" spans="1:35">
      <c r="A373" s="768"/>
      <c r="B373" s="997"/>
      <c r="C373" s="915"/>
      <c r="D373" s="1045">
        <f t="shared" si="47"/>
        <v>0</v>
      </c>
      <c r="E373" s="1036">
        <f t="shared" si="48"/>
        <v>0</v>
      </c>
      <c r="F373" s="1037">
        <f>(E373*0.25*'Emission Factors'!$D$507)+(E373*0.75*'Emission Factors'!$D$471)*0.001</f>
        <v>0</v>
      </c>
    </row>
    <row r="374" spans="1:35">
      <c r="A374" s="768"/>
      <c r="B374" s="997"/>
      <c r="C374" s="915"/>
      <c r="D374" s="1045">
        <f t="shared" si="47"/>
        <v>0</v>
      </c>
      <c r="E374" s="1036">
        <f t="shared" si="48"/>
        <v>0</v>
      </c>
      <c r="F374" s="1037">
        <f>(E374*0.25*'Emission Factors'!$D$507)+(E374*0.75*'Emission Factors'!$D$471)*0.001</f>
        <v>0</v>
      </c>
    </row>
    <row r="375" spans="1:35">
      <c r="A375" s="768"/>
      <c r="B375" s="997"/>
      <c r="C375" s="915"/>
      <c r="D375" s="1045">
        <f t="shared" si="47"/>
        <v>0</v>
      </c>
      <c r="E375" s="1036">
        <f t="shared" si="48"/>
        <v>0</v>
      </c>
      <c r="F375" s="1037">
        <f>(E375*0.25*'Emission Factors'!$D$507)+(E375*0.75*'Emission Factors'!$D$471)*0.001</f>
        <v>0</v>
      </c>
    </row>
    <row r="376" spans="1:35">
      <c r="A376" s="768"/>
      <c r="B376" s="997"/>
      <c r="C376" s="915"/>
      <c r="D376" s="1045">
        <f t="shared" si="47"/>
        <v>0</v>
      </c>
      <c r="E376" s="1036">
        <f t="shared" si="48"/>
        <v>0</v>
      </c>
      <c r="F376" s="1037">
        <f>(E376*0.25*'Emission Factors'!$D$507)+(E376*0.75*'Emission Factors'!$D$471)*0.001</f>
        <v>0</v>
      </c>
    </row>
    <row r="377" spans="1:35">
      <c r="A377" s="768"/>
      <c r="B377" s="997"/>
      <c r="C377" s="915"/>
      <c r="D377" s="1045">
        <f t="shared" si="47"/>
        <v>0</v>
      </c>
      <c r="E377" s="1036">
        <f t="shared" si="48"/>
        <v>0</v>
      </c>
      <c r="F377" s="1037">
        <f>(E377*0.25*'Emission Factors'!$D$507)+(E377*0.75*'Emission Factors'!$D$471)*0.001</f>
        <v>0</v>
      </c>
    </row>
    <row r="378" spans="1:35">
      <c r="A378" s="768"/>
      <c r="B378" s="997"/>
      <c r="C378" s="915"/>
      <c r="D378" s="1045">
        <f t="shared" si="47"/>
        <v>0</v>
      </c>
      <c r="E378" s="1036">
        <f t="shared" si="48"/>
        <v>0</v>
      </c>
      <c r="F378" s="1037">
        <f>(E378*0.25*'Emission Factors'!$D$507)+(E378*0.75*'Emission Factors'!$D$471)*0.001</f>
        <v>0</v>
      </c>
    </row>
    <row r="380" spans="1:35" s="2028" customFormat="1" ht="31.5">
      <c r="A380" s="2028" t="s">
        <v>834</v>
      </c>
      <c r="B380" s="2074"/>
      <c r="C380" s="2074"/>
      <c r="D380" s="2074"/>
      <c r="E380" s="2074"/>
      <c r="F380" s="2074"/>
      <c r="G380" s="2074"/>
      <c r="H380" s="2074"/>
      <c r="I380" s="2074"/>
      <c r="J380" s="2074"/>
      <c r="K380" s="2074"/>
      <c r="L380" s="2074"/>
      <c r="M380" s="2074"/>
      <c r="N380" s="2074"/>
      <c r="O380" s="2074"/>
      <c r="P380" s="2074"/>
      <c r="Q380" s="2074"/>
      <c r="R380" s="2074"/>
      <c r="S380" s="2074"/>
      <c r="T380" s="2074"/>
      <c r="U380" s="2074"/>
      <c r="V380" s="2074"/>
      <c r="W380" s="2074"/>
      <c r="X380" s="2074"/>
      <c r="Y380" s="2074"/>
      <c r="Z380" s="2074"/>
      <c r="AA380" s="2074"/>
      <c r="AB380" s="2074"/>
      <c r="AC380" s="2074"/>
      <c r="AD380" s="2074"/>
      <c r="AE380" s="2074"/>
      <c r="AF380" s="2074"/>
      <c r="AG380" s="2074"/>
      <c r="AH380" s="2074"/>
      <c r="AI380" s="2074"/>
    </row>
    <row r="381" spans="1:35">
      <c r="A381" s="981" t="s">
        <v>972</v>
      </c>
    </row>
    <row r="382" spans="1:35" ht="16.5" thickBot="1">
      <c r="A382" s="920"/>
      <c r="C382" s="2024" t="s">
        <v>427</v>
      </c>
      <c r="D382" s="2025"/>
    </row>
    <row r="383" spans="1:35" ht="42" customHeight="1">
      <c r="A383" s="1046" t="s">
        <v>761</v>
      </c>
      <c r="B383" s="1046" t="s">
        <v>762</v>
      </c>
      <c r="C383" s="697" t="s">
        <v>774</v>
      </c>
      <c r="D383" s="705" t="s">
        <v>973</v>
      </c>
      <c r="E383" s="697" t="s">
        <v>765</v>
      </c>
      <c r="F383" s="697" t="s">
        <v>766</v>
      </c>
      <c r="G383" s="705" t="s">
        <v>974</v>
      </c>
      <c r="H383" s="1047" t="s">
        <v>975</v>
      </c>
      <c r="I383" s="913" t="s">
        <v>864</v>
      </c>
    </row>
    <row r="384" spans="1:35">
      <c r="A384" s="427"/>
      <c r="B384" s="427"/>
      <c r="C384" s="962">
        <f>A384*B384</f>
        <v>0</v>
      </c>
      <c r="D384" s="739">
        <f>C384*0.00110231</f>
        <v>0</v>
      </c>
      <c r="E384" s="963">
        <v>0.59099999999999997</v>
      </c>
      <c r="F384" s="963">
        <v>1</v>
      </c>
      <c r="G384" s="980">
        <f>0.24+0.05</f>
        <v>0.28999999999999998</v>
      </c>
      <c r="H384" s="1048">
        <f>0.37+0.07+0.16</f>
        <v>0.6</v>
      </c>
      <c r="I384" s="701">
        <f t="shared" ref="I384:I395" si="49">SUM((D384*E384*G384)+(D384*F384*H384))</f>
        <v>0</v>
      </c>
    </row>
    <row r="385" spans="1:35">
      <c r="A385" s="427"/>
      <c r="B385" s="427"/>
      <c r="C385" s="962">
        <f>A385*B385</f>
        <v>0</v>
      </c>
      <c r="D385" s="739">
        <f t="shared" ref="D385:D395" si="50">C385*0.00110231</f>
        <v>0</v>
      </c>
      <c r="E385" s="963">
        <v>0.59099999999999997</v>
      </c>
      <c r="F385" s="963">
        <v>0.40899999999999997</v>
      </c>
      <c r="G385" s="980">
        <f>0.24+0.05</f>
        <v>0.28999999999999998</v>
      </c>
      <c r="H385" s="1048">
        <f>0.37+0.07+0.16</f>
        <v>0.6</v>
      </c>
      <c r="I385" s="701">
        <f t="shared" si="49"/>
        <v>0</v>
      </c>
    </row>
    <row r="386" spans="1:35">
      <c r="A386" s="427"/>
      <c r="B386" s="427"/>
      <c r="C386" s="962">
        <f>A386*B386</f>
        <v>0</v>
      </c>
      <c r="D386" s="739">
        <f t="shared" si="50"/>
        <v>0</v>
      </c>
      <c r="E386" s="963">
        <v>0.59099999999999997</v>
      </c>
      <c r="F386" s="963">
        <v>0.40899999999999997</v>
      </c>
      <c r="G386" s="980">
        <f>0.24+0.05</f>
        <v>0.28999999999999998</v>
      </c>
      <c r="H386" s="1048">
        <f>0.37+0.07+0.16</f>
        <v>0.6</v>
      </c>
      <c r="I386" s="701">
        <f t="shared" si="49"/>
        <v>0</v>
      </c>
    </row>
    <row r="387" spans="1:35">
      <c r="A387" s="427"/>
      <c r="B387" s="427"/>
      <c r="C387" s="962">
        <f>A387*B387</f>
        <v>0</v>
      </c>
      <c r="D387" s="739">
        <f t="shared" si="50"/>
        <v>0</v>
      </c>
      <c r="E387" s="963">
        <v>0.59099999999999997</v>
      </c>
      <c r="F387" s="963">
        <v>0.40899999999999997</v>
      </c>
      <c r="G387" s="980">
        <f>0.24+0.05</f>
        <v>0.28999999999999998</v>
      </c>
      <c r="H387" s="1048">
        <f>0.37+0.07+0.16</f>
        <v>0.6</v>
      </c>
      <c r="I387" s="701">
        <f t="shared" si="49"/>
        <v>0</v>
      </c>
    </row>
    <row r="388" spans="1:35">
      <c r="A388" s="427"/>
      <c r="B388" s="427"/>
      <c r="C388" s="962">
        <f>A388*B388</f>
        <v>0</v>
      </c>
      <c r="D388" s="739">
        <f t="shared" si="50"/>
        <v>0</v>
      </c>
      <c r="E388" s="963">
        <v>0.59099999999999997</v>
      </c>
      <c r="F388" s="963">
        <v>0.40899999999999997</v>
      </c>
      <c r="G388" s="980">
        <f>0.24+0.05</f>
        <v>0.28999999999999998</v>
      </c>
      <c r="H388" s="1048">
        <f>0.37+0.07+0.16</f>
        <v>0.6</v>
      </c>
      <c r="I388" s="701">
        <f t="shared" si="49"/>
        <v>0</v>
      </c>
    </row>
    <row r="389" spans="1:35">
      <c r="A389" s="427"/>
      <c r="B389" s="427"/>
      <c r="C389" s="962">
        <f t="shared" ref="C389:C395" si="51">A389*B389</f>
        <v>0</v>
      </c>
      <c r="D389" s="739">
        <f t="shared" si="50"/>
        <v>0</v>
      </c>
      <c r="E389" s="963">
        <v>0.59099999999999997</v>
      </c>
      <c r="F389" s="963">
        <v>0.40899999999999997</v>
      </c>
      <c r="G389" s="980">
        <f t="shared" ref="G389:G395" si="52">0.24+0.05</f>
        <v>0.28999999999999998</v>
      </c>
      <c r="H389" s="1048">
        <f t="shared" ref="H389:H395" si="53">0.37+0.07+0.16</f>
        <v>0.6</v>
      </c>
      <c r="I389" s="701">
        <f t="shared" si="49"/>
        <v>0</v>
      </c>
    </row>
    <row r="390" spans="1:35">
      <c r="A390" s="427"/>
      <c r="B390" s="427"/>
      <c r="C390" s="962">
        <f t="shared" si="51"/>
        <v>0</v>
      </c>
      <c r="D390" s="739">
        <f t="shared" si="50"/>
        <v>0</v>
      </c>
      <c r="E390" s="963">
        <v>0.59099999999999997</v>
      </c>
      <c r="F390" s="963">
        <v>0.40899999999999997</v>
      </c>
      <c r="G390" s="980">
        <f t="shared" si="52"/>
        <v>0.28999999999999998</v>
      </c>
      <c r="H390" s="1048">
        <f t="shared" si="53"/>
        <v>0.6</v>
      </c>
      <c r="I390" s="701">
        <f t="shared" si="49"/>
        <v>0</v>
      </c>
    </row>
    <row r="391" spans="1:35">
      <c r="A391" s="427"/>
      <c r="B391" s="427"/>
      <c r="C391" s="962">
        <f t="shared" si="51"/>
        <v>0</v>
      </c>
      <c r="D391" s="739">
        <f t="shared" si="50"/>
        <v>0</v>
      </c>
      <c r="E391" s="963">
        <v>0.59099999999999997</v>
      </c>
      <c r="F391" s="963">
        <v>0.40899999999999997</v>
      </c>
      <c r="G391" s="980">
        <f t="shared" si="52"/>
        <v>0.28999999999999998</v>
      </c>
      <c r="H391" s="1048">
        <f t="shared" si="53"/>
        <v>0.6</v>
      </c>
      <c r="I391" s="701">
        <f t="shared" si="49"/>
        <v>0</v>
      </c>
    </row>
    <row r="392" spans="1:35">
      <c r="A392" s="427"/>
      <c r="B392" s="427"/>
      <c r="C392" s="962">
        <f t="shared" si="51"/>
        <v>0</v>
      </c>
      <c r="D392" s="739">
        <f t="shared" si="50"/>
        <v>0</v>
      </c>
      <c r="E392" s="963">
        <v>0.59099999999999997</v>
      </c>
      <c r="F392" s="963">
        <v>0.40899999999999997</v>
      </c>
      <c r="G392" s="980">
        <f t="shared" si="52"/>
        <v>0.28999999999999998</v>
      </c>
      <c r="H392" s="1048">
        <f t="shared" si="53"/>
        <v>0.6</v>
      </c>
      <c r="I392" s="701">
        <f t="shared" si="49"/>
        <v>0</v>
      </c>
    </row>
    <row r="393" spans="1:35">
      <c r="A393" s="427"/>
      <c r="B393" s="427"/>
      <c r="C393" s="962">
        <f t="shared" si="51"/>
        <v>0</v>
      </c>
      <c r="D393" s="739">
        <f t="shared" si="50"/>
        <v>0</v>
      </c>
      <c r="E393" s="963">
        <v>0.59099999999999997</v>
      </c>
      <c r="F393" s="963">
        <v>0.40899999999999997</v>
      </c>
      <c r="G393" s="980">
        <f t="shared" si="52"/>
        <v>0.28999999999999998</v>
      </c>
      <c r="H393" s="1048">
        <f t="shared" si="53"/>
        <v>0.6</v>
      </c>
      <c r="I393" s="701">
        <f t="shared" si="49"/>
        <v>0</v>
      </c>
    </row>
    <row r="394" spans="1:35">
      <c r="A394" s="427"/>
      <c r="B394" s="427"/>
      <c r="C394" s="962">
        <f t="shared" si="51"/>
        <v>0</v>
      </c>
      <c r="D394" s="739">
        <f t="shared" si="50"/>
        <v>0</v>
      </c>
      <c r="E394" s="963">
        <v>0.59099999999999997</v>
      </c>
      <c r="F394" s="963">
        <v>0.40899999999999997</v>
      </c>
      <c r="G394" s="980">
        <f t="shared" si="52"/>
        <v>0.28999999999999998</v>
      </c>
      <c r="H394" s="1048">
        <f t="shared" si="53"/>
        <v>0.6</v>
      </c>
      <c r="I394" s="701">
        <f t="shared" si="49"/>
        <v>0</v>
      </c>
    </row>
    <row r="395" spans="1:35">
      <c r="A395" s="427"/>
      <c r="B395" s="427"/>
      <c r="C395" s="962">
        <f t="shared" si="51"/>
        <v>0</v>
      </c>
      <c r="D395" s="739">
        <f t="shared" si="50"/>
        <v>0</v>
      </c>
      <c r="E395" s="963">
        <v>0.59099999999999997</v>
      </c>
      <c r="F395" s="963">
        <v>0.40899999999999997</v>
      </c>
      <c r="G395" s="980">
        <f t="shared" si="52"/>
        <v>0.28999999999999998</v>
      </c>
      <c r="H395" s="1048">
        <f t="shared" si="53"/>
        <v>0.6</v>
      </c>
      <c r="I395" s="701">
        <f t="shared" si="49"/>
        <v>0</v>
      </c>
    </row>
    <row r="396" spans="1:35" ht="24" thickBot="1">
      <c r="A396" s="724"/>
      <c r="H396" s="1008" t="s">
        <v>424</v>
      </c>
      <c r="I396" s="999">
        <f>SUM(I384:I395)</f>
        <v>0</v>
      </c>
    </row>
    <row r="399" spans="1:35" s="2028" customFormat="1" ht="31.5">
      <c r="A399" s="2028" t="s">
        <v>128</v>
      </c>
      <c r="B399" s="2029"/>
      <c r="C399" s="2029"/>
      <c r="D399" s="2029"/>
      <c r="E399" s="2029"/>
      <c r="F399" s="2029"/>
      <c r="G399" s="2029"/>
      <c r="H399" s="2029"/>
      <c r="I399" s="2029"/>
      <c r="J399" s="2029"/>
      <c r="K399" s="2029"/>
      <c r="L399" s="2029"/>
      <c r="M399" s="2029"/>
      <c r="N399" s="2029"/>
      <c r="O399" s="2029"/>
      <c r="P399" s="2029"/>
      <c r="Q399" s="2029"/>
      <c r="R399" s="2029"/>
      <c r="S399" s="2029"/>
      <c r="T399" s="2029"/>
      <c r="U399" s="2029"/>
      <c r="V399" s="2029"/>
      <c r="W399" s="2029"/>
      <c r="X399" s="2029"/>
      <c r="Y399" s="2029"/>
      <c r="Z399" s="2029"/>
      <c r="AA399" s="2029"/>
      <c r="AB399" s="2029"/>
      <c r="AC399" s="2029"/>
      <c r="AD399" s="2029"/>
      <c r="AE399" s="2029"/>
      <c r="AF399" s="2029"/>
      <c r="AG399" s="2029"/>
      <c r="AH399" s="2029"/>
      <c r="AI399" s="2029"/>
    </row>
    <row r="400" spans="1:35" s="743" customFormat="1" ht="23.25">
      <c r="B400" s="1991" t="s">
        <v>427</v>
      </c>
      <c r="C400" s="1992"/>
    </row>
    <row r="401" spans="1:15" s="743" customFormat="1" ht="24" thickBot="1">
      <c r="A401" s="2075" t="s">
        <v>944</v>
      </c>
      <c r="B401" s="2076"/>
      <c r="C401" s="2076"/>
      <c r="D401" s="2076"/>
      <c r="E401" s="2076"/>
      <c r="F401" s="2076"/>
      <c r="G401" s="2076"/>
      <c r="H401" s="2076"/>
      <c r="I401" s="2076"/>
      <c r="J401" s="2076"/>
      <c r="K401" s="2076"/>
      <c r="L401" s="2076"/>
      <c r="M401" s="2076"/>
      <c r="N401" s="2076"/>
      <c r="O401" s="2076"/>
    </row>
    <row r="402" spans="1:15" ht="31.5">
      <c r="A402" s="748" t="s">
        <v>945</v>
      </c>
      <c r="B402" s="748" t="s">
        <v>947</v>
      </c>
      <c r="C402" s="748" t="s">
        <v>970</v>
      </c>
      <c r="D402" s="748" t="s">
        <v>949</v>
      </c>
      <c r="E402" s="748" t="s">
        <v>950</v>
      </c>
      <c r="F402" s="913" t="s">
        <v>702</v>
      </c>
    </row>
    <row r="403" spans="1:15">
      <c r="A403" s="768"/>
      <c r="B403" s="1404"/>
      <c r="C403" s="915"/>
      <c r="D403" s="1045">
        <f>C403/1000</f>
        <v>0</v>
      </c>
      <c r="E403" s="1036">
        <f>D403*B403</f>
        <v>0</v>
      </c>
      <c r="F403" s="1037">
        <f>'Emission Factors'!$D$362*E403*0.001</f>
        <v>0</v>
      </c>
    </row>
    <row r="404" spans="1:15">
      <c r="A404" s="768"/>
      <c r="B404" s="997"/>
      <c r="C404" s="915"/>
      <c r="D404" s="1045">
        <f t="shared" ref="D404:D410" si="54">C404/1000</f>
        <v>0</v>
      </c>
      <c r="E404" s="1036">
        <f t="shared" ref="E404:E410" si="55">D404*B404</f>
        <v>0</v>
      </c>
      <c r="F404" s="1037">
        <f>'Emission Factors'!$D$362*E404*0.001</f>
        <v>0</v>
      </c>
    </row>
    <row r="405" spans="1:15">
      <c r="A405" s="768"/>
      <c r="B405" s="997"/>
      <c r="C405" s="915"/>
      <c r="D405" s="1045">
        <f t="shared" si="54"/>
        <v>0</v>
      </c>
      <c r="E405" s="1036">
        <f t="shared" si="55"/>
        <v>0</v>
      </c>
      <c r="F405" s="1037">
        <f>'Emission Factors'!$D$362*E405*0.001</f>
        <v>0</v>
      </c>
    </row>
    <row r="406" spans="1:15">
      <c r="A406" s="768"/>
      <c r="B406" s="997"/>
      <c r="C406" s="915"/>
      <c r="D406" s="1045">
        <f t="shared" si="54"/>
        <v>0</v>
      </c>
      <c r="E406" s="1036">
        <f t="shared" si="55"/>
        <v>0</v>
      </c>
      <c r="F406" s="1037">
        <f>'Emission Factors'!$D$362*E406*0.001</f>
        <v>0</v>
      </c>
    </row>
    <row r="407" spans="1:15">
      <c r="A407" s="768"/>
      <c r="B407" s="997"/>
      <c r="C407" s="915"/>
      <c r="D407" s="1045">
        <f t="shared" si="54"/>
        <v>0</v>
      </c>
      <c r="E407" s="1036">
        <f t="shared" si="55"/>
        <v>0</v>
      </c>
      <c r="F407" s="1037">
        <f>'Emission Factors'!$D$362*E407*0.001</f>
        <v>0</v>
      </c>
    </row>
    <row r="408" spans="1:15">
      <c r="A408" s="768"/>
      <c r="B408" s="997"/>
      <c r="C408" s="915"/>
      <c r="D408" s="1045">
        <f t="shared" si="54"/>
        <v>0</v>
      </c>
      <c r="E408" s="1036">
        <f t="shared" si="55"/>
        <v>0</v>
      </c>
      <c r="F408" s="1037">
        <f>'Emission Factors'!$D$362*E408*0.001</f>
        <v>0</v>
      </c>
    </row>
    <row r="409" spans="1:15">
      <c r="A409" s="768"/>
      <c r="B409" s="997"/>
      <c r="C409" s="915"/>
      <c r="D409" s="1045">
        <f t="shared" si="54"/>
        <v>0</v>
      </c>
      <c r="E409" s="1036">
        <f t="shared" si="55"/>
        <v>0</v>
      </c>
      <c r="F409" s="1037">
        <f>'Emission Factors'!$D$362*E409*0.001</f>
        <v>0</v>
      </c>
    </row>
    <row r="410" spans="1:15">
      <c r="A410" s="768"/>
      <c r="B410" s="997"/>
      <c r="C410" s="915"/>
      <c r="D410" s="1045">
        <f t="shared" si="54"/>
        <v>0</v>
      </c>
      <c r="E410" s="1036">
        <f t="shared" si="55"/>
        <v>0</v>
      </c>
      <c r="F410" s="1037">
        <f>'Emission Factors'!$D$362*E410*0.001</f>
        <v>0</v>
      </c>
    </row>
    <row r="411" spans="1:15" s="743" customFormat="1" ht="24" thickBot="1">
      <c r="A411" s="2075" t="s">
        <v>952</v>
      </c>
      <c r="B411" s="2076"/>
      <c r="C411" s="2076"/>
      <c r="D411" s="2076"/>
      <c r="E411" s="2076"/>
      <c r="F411" s="2076"/>
      <c r="G411" s="2076"/>
      <c r="H411" s="2076"/>
      <c r="I411" s="2076"/>
      <c r="J411" s="2076"/>
      <c r="K411" s="2076"/>
      <c r="L411" s="2076"/>
      <c r="M411" s="2076"/>
      <c r="N411" s="2076"/>
      <c r="O411" s="2076"/>
    </row>
    <row r="412" spans="1:15" ht="31.5">
      <c r="A412" s="748" t="s">
        <v>945</v>
      </c>
      <c r="B412" s="748" t="s">
        <v>947</v>
      </c>
      <c r="C412" s="748" t="s">
        <v>970</v>
      </c>
      <c r="D412" s="748" t="s">
        <v>949</v>
      </c>
      <c r="E412" s="748" t="s">
        <v>950</v>
      </c>
      <c r="F412" s="913" t="s">
        <v>702</v>
      </c>
    </row>
    <row r="413" spans="1:15">
      <c r="A413" s="768"/>
      <c r="B413" s="997"/>
      <c r="C413" s="915"/>
      <c r="D413" s="1045">
        <f>C413/1000</f>
        <v>0</v>
      </c>
      <c r="E413" s="1036">
        <f>D413*B413</f>
        <v>0</v>
      </c>
      <c r="F413" s="1037">
        <f>'Emission Factors'!$D$507*E413*0.001</f>
        <v>0</v>
      </c>
    </row>
    <row r="414" spans="1:15">
      <c r="A414" s="768"/>
      <c r="B414" s="997"/>
      <c r="C414" s="915"/>
      <c r="D414" s="1045">
        <f t="shared" ref="D414:D420" si="56">C414/1000</f>
        <v>0</v>
      </c>
      <c r="E414" s="1036">
        <f t="shared" ref="E414:E420" si="57">D414*B414</f>
        <v>0</v>
      </c>
      <c r="F414" s="1037">
        <f>'Emission Factors'!$D$507*E414*0.001</f>
        <v>0</v>
      </c>
    </row>
    <row r="415" spans="1:15">
      <c r="A415" s="768"/>
      <c r="B415" s="997"/>
      <c r="C415" s="915"/>
      <c r="D415" s="1045">
        <f t="shared" si="56"/>
        <v>0</v>
      </c>
      <c r="E415" s="1036">
        <f t="shared" si="57"/>
        <v>0</v>
      </c>
      <c r="F415" s="1037">
        <f>'Emission Factors'!$D$507*E415*0.001</f>
        <v>0</v>
      </c>
    </row>
    <row r="416" spans="1:15">
      <c r="A416" s="768"/>
      <c r="B416" s="997"/>
      <c r="C416" s="915"/>
      <c r="D416" s="1045">
        <f t="shared" si="56"/>
        <v>0</v>
      </c>
      <c r="E416" s="1036">
        <f t="shared" si="57"/>
        <v>0</v>
      </c>
      <c r="F416" s="1037">
        <f>'Emission Factors'!$D$507*E416*0.001</f>
        <v>0</v>
      </c>
    </row>
    <row r="417" spans="1:15">
      <c r="A417" s="768"/>
      <c r="B417" s="997"/>
      <c r="C417" s="915"/>
      <c r="D417" s="1045">
        <f t="shared" si="56"/>
        <v>0</v>
      </c>
      <c r="E417" s="1036">
        <f t="shared" si="57"/>
        <v>0</v>
      </c>
      <c r="F417" s="1037">
        <f>'Emission Factors'!$D$507*E417*0.001</f>
        <v>0</v>
      </c>
    </row>
    <row r="418" spans="1:15">
      <c r="A418" s="768"/>
      <c r="B418" s="997"/>
      <c r="C418" s="915"/>
      <c r="D418" s="1045">
        <f t="shared" si="56"/>
        <v>0</v>
      </c>
      <c r="E418" s="1036">
        <f t="shared" si="57"/>
        <v>0</v>
      </c>
      <c r="F418" s="1037">
        <f>'Emission Factors'!$D$507*E418*0.001</f>
        <v>0</v>
      </c>
    </row>
    <row r="419" spans="1:15">
      <c r="A419" s="768"/>
      <c r="B419" s="997"/>
      <c r="C419" s="915"/>
      <c r="D419" s="1045">
        <f t="shared" si="56"/>
        <v>0</v>
      </c>
      <c r="E419" s="1036">
        <f t="shared" si="57"/>
        <v>0</v>
      </c>
      <c r="F419" s="1037">
        <f>'Emission Factors'!$D$507*E419*0.001</f>
        <v>0</v>
      </c>
    </row>
    <row r="420" spans="1:15">
      <c r="A420" s="768"/>
      <c r="B420" s="997"/>
      <c r="C420" s="915"/>
      <c r="D420" s="1045">
        <f t="shared" si="56"/>
        <v>0</v>
      </c>
      <c r="E420" s="1036">
        <f t="shared" si="57"/>
        <v>0</v>
      </c>
      <c r="F420" s="1037">
        <f>'Emission Factors'!$D$507*E420*0.001</f>
        <v>0</v>
      </c>
    </row>
    <row r="421" spans="1:15" s="743" customFormat="1" ht="24" customHeight="1" thickBot="1">
      <c r="A421" s="2075" t="s">
        <v>953</v>
      </c>
      <c r="B421" s="2076"/>
      <c r="C421" s="2076"/>
      <c r="D421" s="2076"/>
      <c r="E421" s="2076"/>
      <c r="F421" s="2076"/>
      <c r="G421" s="2076"/>
      <c r="H421" s="2076"/>
      <c r="I421" s="2076"/>
      <c r="J421" s="2076"/>
      <c r="K421" s="2076"/>
      <c r="L421" s="2076"/>
      <c r="M421" s="2076"/>
      <c r="N421" s="2076"/>
      <c r="O421" s="2076"/>
    </row>
    <row r="422" spans="1:15" ht="31.5">
      <c r="A422" s="912" t="s">
        <v>945</v>
      </c>
      <c r="B422" s="912" t="s">
        <v>947</v>
      </c>
      <c r="C422" s="912" t="s">
        <v>970</v>
      </c>
      <c r="D422" s="912" t="s">
        <v>949</v>
      </c>
      <c r="E422" s="748" t="s">
        <v>950</v>
      </c>
      <c r="F422" s="913" t="s">
        <v>702</v>
      </c>
    </row>
    <row r="423" spans="1:15">
      <c r="A423" s="768"/>
      <c r="B423" s="997"/>
      <c r="C423" s="915"/>
      <c r="D423" s="1045">
        <f>C423/1000</f>
        <v>0</v>
      </c>
      <c r="E423" s="1036">
        <f>D423*B423</f>
        <v>0</v>
      </c>
      <c r="F423" s="1037">
        <f>(E423*0.5*'Emission Factors'!$D$362)+(E423*0.5*'Emission Factors'!$D$507)*0.001</f>
        <v>0</v>
      </c>
    </row>
    <row r="424" spans="1:15">
      <c r="A424" s="768"/>
      <c r="B424" s="997"/>
      <c r="C424" s="915"/>
      <c r="D424" s="1045">
        <f t="shared" ref="D424:D430" si="58">C424/1000</f>
        <v>0</v>
      </c>
      <c r="E424" s="1036">
        <f t="shared" ref="E424:E430" si="59">D424*B424</f>
        <v>0</v>
      </c>
      <c r="F424" s="1037">
        <f>(E424*0.5*'Emission Factors'!$D$362)+(E424*0.5*'Emission Factors'!$D$507)*0.001</f>
        <v>0</v>
      </c>
    </row>
    <row r="425" spans="1:15">
      <c r="A425" s="768"/>
      <c r="B425" s="997"/>
      <c r="C425" s="915"/>
      <c r="D425" s="1045">
        <f t="shared" si="58"/>
        <v>0</v>
      </c>
      <c r="E425" s="1036">
        <f t="shared" si="59"/>
        <v>0</v>
      </c>
      <c r="F425" s="1037">
        <f>(E425*0.5*'Emission Factors'!$D$362)+(E425*0.5*'Emission Factors'!$D$507)*0.001</f>
        <v>0</v>
      </c>
    </row>
    <row r="426" spans="1:15">
      <c r="A426" s="768"/>
      <c r="B426" s="997"/>
      <c r="C426" s="915"/>
      <c r="D426" s="1045">
        <f t="shared" si="58"/>
        <v>0</v>
      </c>
      <c r="E426" s="1036">
        <f t="shared" si="59"/>
        <v>0</v>
      </c>
      <c r="F426" s="1037">
        <f>(E426*0.5*'Emission Factors'!$D$362)+(E426*0.5*'Emission Factors'!$D$507)*0.001</f>
        <v>0</v>
      </c>
    </row>
    <row r="427" spans="1:15">
      <c r="A427" s="768"/>
      <c r="B427" s="997"/>
      <c r="C427" s="915"/>
      <c r="D427" s="1045">
        <f t="shared" si="58"/>
        <v>0</v>
      </c>
      <c r="E427" s="1036">
        <f t="shared" si="59"/>
        <v>0</v>
      </c>
      <c r="F427" s="1037">
        <f>(E427*0.5*'Emission Factors'!$D$362)+(E427*0.5*'Emission Factors'!$D$507)*0.001</f>
        <v>0</v>
      </c>
    </row>
    <row r="428" spans="1:15">
      <c r="A428" s="768"/>
      <c r="B428" s="997"/>
      <c r="C428" s="915"/>
      <c r="D428" s="1045">
        <f t="shared" si="58"/>
        <v>0</v>
      </c>
      <c r="E428" s="1036">
        <f t="shared" si="59"/>
        <v>0</v>
      </c>
      <c r="F428" s="1037">
        <f>(E428*0.5*'Emission Factors'!$D$362)+(E428*0.5*'Emission Factors'!$D$507)*0.001</f>
        <v>0</v>
      </c>
    </row>
    <row r="429" spans="1:15">
      <c r="A429" s="768"/>
      <c r="B429" s="997"/>
      <c r="C429" s="915"/>
      <c r="D429" s="1045">
        <f t="shared" si="58"/>
        <v>0</v>
      </c>
      <c r="E429" s="1036">
        <f t="shared" si="59"/>
        <v>0</v>
      </c>
      <c r="F429" s="1037">
        <f>(E429*0.5*'Emission Factors'!$D$362)+(E429*0.5*'Emission Factors'!$D$507)*0.001</f>
        <v>0</v>
      </c>
    </row>
    <row r="430" spans="1:15">
      <c r="A430" s="768"/>
      <c r="B430" s="997"/>
      <c r="C430" s="915"/>
      <c r="D430" s="1045">
        <f t="shared" si="58"/>
        <v>0</v>
      </c>
      <c r="E430" s="1036">
        <f t="shared" si="59"/>
        <v>0</v>
      </c>
      <c r="F430" s="1037">
        <f>(E430*0.5*'Emission Factors'!$D$362)+(E430*0.5*'Emission Factors'!$D$507)*0.001</f>
        <v>0</v>
      </c>
    </row>
    <row r="431" spans="1:15" s="743" customFormat="1" ht="24" customHeight="1" thickBot="1">
      <c r="A431" s="2075" t="s">
        <v>954</v>
      </c>
      <c r="B431" s="2076"/>
      <c r="C431" s="2076"/>
      <c r="D431" s="2076"/>
      <c r="E431" s="2076"/>
      <c r="F431" s="2076"/>
      <c r="G431" s="2076"/>
      <c r="H431" s="2076"/>
      <c r="I431" s="2076"/>
      <c r="J431" s="2076"/>
      <c r="K431" s="2076"/>
      <c r="L431" s="2076"/>
      <c r="M431" s="2076"/>
      <c r="N431" s="2076"/>
      <c r="O431" s="2076"/>
    </row>
    <row r="432" spans="1:15" ht="31.5">
      <c r="A432" s="912" t="s">
        <v>945</v>
      </c>
      <c r="B432" s="912" t="s">
        <v>947</v>
      </c>
      <c r="C432" s="912" t="s">
        <v>970</v>
      </c>
      <c r="D432" s="912" t="s">
        <v>949</v>
      </c>
      <c r="E432" s="748" t="s">
        <v>950</v>
      </c>
      <c r="F432" s="913" t="s">
        <v>702</v>
      </c>
    </row>
    <row r="433" spans="1:15">
      <c r="A433" s="768"/>
      <c r="B433" s="997"/>
      <c r="C433" s="915"/>
      <c r="D433" s="1045">
        <f>C433/1000</f>
        <v>0</v>
      </c>
      <c r="E433" s="1036">
        <f>D433*B433</f>
        <v>0</v>
      </c>
      <c r="F433" s="1037">
        <f>(E433*0.75*'Emission Factors'!$D$362)+(E433*0.25*'Emission Factors'!$D$507)*0.001</f>
        <v>0</v>
      </c>
    </row>
    <row r="434" spans="1:15">
      <c r="A434" s="768"/>
      <c r="B434" s="997"/>
      <c r="C434" s="915"/>
      <c r="D434" s="1045">
        <f t="shared" ref="D434:D440" si="60">C434/1000</f>
        <v>0</v>
      </c>
      <c r="E434" s="1036">
        <f t="shared" ref="E434:E440" si="61">D434*B434</f>
        <v>0</v>
      </c>
      <c r="F434" s="1037">
        <f>(E434*0.75*'Emission Factors'!$D$362)+(E434*0.25*'Emission Factors'!$D$507)*0.001</f>
        <v>0</v>
      </c>
    </row>
    <row r="435" spans="1:15">
      <c r="A435" s="768"/>
      <c r="B435" s="997"/>
      <c r="C435" s="915"/>
      <c r="D435" s="1045">
        <f t="shared" si="60"/>
        <v>0</v>
      </c>
      <c r="E435" s="1036">
        <f t="shared" si="61"/>
        <v>0</v>
      </c>
      <c r="F435" s="1037">
        <f>(E435*0.75*'Emission Factors'!$D$362)+(E435*0.25*'Emission Factors'!$D$507)*0.001</f>
        <v>0</v>
      </c>
    </row>
    <row r="436" spans="1:15">
      <c r="A436" s="768"/>
      <c r="B436" s="997"/>
      <c r="C436" s="915"/>
      <c r="D436" s="1045">
        <f t="shared" si="60"/>
        <v>0</v>
      </c>
      <c r="E436" s="1036">
        <f t="shared" si="61"/>
        <v>0</v>
      </c>
      <c r="F436" s="1037">
        <f>(E436*0.75*'Emission Factors'!$D$362)+(E436*0.25*'Emission Factors'!$D$507)*0.001</f>
        <v>0</v>
      </c>
    </row>
    <row r="437" spans="1:15">
      <c r="A437" s="768"/>
      <c r="B437" s="997"/>
      <c r="C437" s="915"/>
      <c r="D437" s="1045">
        <f t="shared" si="60"/>
        <v>0</v>
      </c>
      <c r="E437" s="1036">
        <f t="shared" si="61"/>
        <v>0</v>
      </c>
      <c r="F437" s="1037">
        <f>(E437*0.75*'Emission Factors'!$D$362)+(E437*0.25*'Emission Factors'!$D$507)*0.001</f>
        <v>0</v>
      </c>
    </row>
    <row r="438" spans="1:15">
      <c r="A438" s="768"/>
      <c r="B438" s="997"/>
      <c r="C438" s="915"/>
      <c r="D438" s="1045">
        <f t="shared" si="60"/>
        <v>0</v>
      </c>
      <c r="E438" s="1036">
        <f t="shared" si="61"/>
        <v>0</v>
      </c>
      <c r="F438" s="1037">
        <f>(E438*0.75*'Emission Factors'!$D$362)+(E438*0.25*'Emission Factors'!$D$507)*0.001</f>
        <v>0</v>
      </c>
    </row>
    <row r="439" spans="1:15">
      <c r="A439" s="768"/>
      <c r="B439" s="997"/>
      <c r="C439" s="915"/>
      <c r="D439" s="1045">
        <f t="shared" si="60"/>
        <v>0</v>
      </c>
      <c r="E439" s="1036">
        <f t="shared" si="61"/>
        <v>0</v>
      </c>
      <c r="F439" s="1037">
        <f>(E439*0.75*'Emission Factors'!$D$362)+(E439*0.25*'Emission Factors'!$D$507)*0.001</f>
        <v>0</v>
      </c>
    </row>
    <row r="440" spans="1:15">
      <c r="A440" s="768"/>
      <c r="B440" s="997"/>
      <c r="C440" s="915"/>
      <c r="D440" s="1045">
        <f t="shared" si="60"/>
        <v>0</v>
      </c>
      <c r="E440" s="1036">
        <f t="shared" si="61"/>
        <v>0</v>
      </c>
      <c r="F440" s="1037">
        <f>(E440*0.75*'Emission Factors'!$D$362)+(E440*0.25*'Emission Factors'!$D$507)*0.001</f>
        <v>0</v>
      </c>
    </row>
    <row r="441" spans="1:15" s="743" customFormat="1" ht="24" customHeight="1" thickBot="1">
      <c r="A441" s="2075" t="s">
        <v>971</v>
      </c>
      <c r="B441" s="2076"/>
      <c r="C441" s="2076"/>
      <c r="D441" s="2076"/>
      <c r="E441" s="2076"/>
      <c r="F441" s="2076"/>
      <c r="G441" s="2076"/>
      <c r="H441" s="2076"/>
      <c r="I441" s="2076"/>
      <c r="J441" s="2076"/>
      <c r="K441" s="2076"/>
      <c r="L441" s="2076"/>
      <c r="M441" s="2076"/>
      <c r="N441" s="2076"/>
      <c r="O441" s="2076"/>
    </row>
    <row r="442" spans="1:15" ht="31.5">
      <c r="A442" s="912" t="s">
        <v>945</v>
      </c>
      <c r="B442" s="912" t="s">
        <v>947</v>
      </c>
      <c r="C442" s="912" t="s">
        <v>970</v>
      </c>
      <c r="D442" s="912" t="s">
        <v>949</v>
      </c>
      <c r="E442" s="748" t="s">
        <v>950</v>
      </c>
      <c r="F442" s="913" t="s">
        <v>702</v>
      </c>
    </row>
    <row r="443" spans="1:15">
      <c r="A443" s="768"/>
      <c r="B443" s="997"/>
      <c r="C443" s="915"/>
      <c r="D443" s="1045">
        <f>C443/1000</f>
        <v>0</v>
      </c>
      <c r="E443" s="1036">
        <f>D443*B443</f>
        <v>0</v>
      </c>
      <c r="F443" s="1037">
        <f>(E443*0.25*'Emission Factors'!$D$362)+(E443*0.75*'Emission Factors'!$D$471)*0.001</f>
        <v>0</v>
      </c>
    </row>
    <row r="444" spans="1:15">
      <c r="A444" s="768"/>
      <c r="B444" s="997"/>
      <c r="C444" s="915"/>
      <c r="D444" s="1045">
        <f t="shared" ref="D444:D450" si="62">C444/1000</f>
        <v>0</v>
      </c>
      <c r="E444" s="1036">
        <f t="shared" ref="E444:E450" si="63">D444*B444</f>
        <v>0</v>
      </c>
      <c r="F444" s="1037">
        <f>(E444*0.25*'Emission Factors'!$D$362)+(E444*0.75*'Emission Factors'!$D$471)*0.001</f>
        <v>0</v>
      </c>
    </row>
    <row r="445" spans="1:15">
      <c r="A445" s="768"/>
      <c r="B445" s="997"/>
      <c r="C445" s="915"/>
      <c r="D445" s="1045">
        <f t="shared" si="62"/>
        <v>0</v>
      </c>
      <c r="E445" s="1036">
        <f t="shared" si="63"/>
        <v>0</v>
      </c>
      <c r="F445" s="1037">
        <f>(E445*0.25*'Emission Factors'!$D$362)+(E445*0.75*'Emission Factors'!$D$471)*0.001</f>
        <v>0</v>
      </c>
    </row>
    <row r="446" spans="1:15">
      <c r="A446" s="768"/>
      <c r="B446" s="997"/>
      <c r="C446" s="915"/>
      <c r="D446" s="1045">
        <f t="shared" si="62"/>
        <v>0</v>
      </c>
      <c r="E446" s="1036">
        <f t="shared" si="63"/>
        <v>0</v>
      </c>
      <c r="F446" s="1037">
        <f>(E446*0.25*'Emission Factors'!$D$362)+(E446*0.75*'Emission Factors'!$D$471)*0.001</f>
        <v>0</v>
      </c>
    </row>
    <row r="447" spans="1:15">
      <c r="A447" s="768"/>
      <c r="B447" s="997"/>
      <c r="C447" s="915"/>
      <c r="D447" s="1045">
        <f t="shared" si="62"/>
        <v>0</v>
      </c>
      <c r="E447" s="1036">
        <f t="shared" si="63"/>
        <v>0</v>
      </c>
      <c r="F447" s="1037">
        <f>(E447*0.25*'Emission Factors'!$D$362)+(E447*0.75*'Emission Factors'!$D$471)*0.001</f>
        <v>0</v>
      </c>
    </row>
    <row r="448" spans="1:15">
      <c r="A448" s="768"/>
      <c r="B448" s="997"/>
      <c r="C448" s="915"/>
      <c r="D448" s="1045">
        <f t="shared" si="62"/>
        <v>0</v>
      </c>
      <c r="E448" s="1036">
        <f t="shared" si="63"/>
        <v>0</v>
      </c>
      <c r="F448" s="1037">
        <f>(E448*0.25*'Emission Factors'!$D$362)+(E448*0.75*'Emission Factors'!$D$471)*0.001</f>
        <v>0</v>
      </c>
    </row>
    <row r="449" spans="1:19">
      <c r="A449" s="768"/>
      <c r="B449" s="997"/>
      <c r="C449" s="915"/>
      <c r="D449" s="1045">
        <f t="shared" si="62"/>
        <v>0</v>
      </c>
      <c r="E449" s="1036">
        <f t="shared" si="63"/>
        <v>0</v>
      </c>
      <c r="F449" s="1037">
        <f>(E449*0.25*'Emission Factors'!$D$362)+(E449*0.75*'Emission Factors'!$D$471)*0.001</f>
        <v>0</v>
      </c>
    </row>
    <row r="450" spans="1:19">
      <c r="A450" s="768"/>
      <c r="B450" s="997"/>
      <c r="C450" s="915"/>
      <c r="D450" s="1045">
        <f t="shared" si="62"/>
        <v>0</v>
      </c>
      <c r="E450" s="1036">
        <f t="shared" si="63"/>
        <v>0</v>
      </c>
      <c r="F450" s="1037">
        <f>(E450*0.25*'Emission Factors'!$D$362)+(E450*0.75*'Emission Factors'!$D$471)*0.001</f>
        <v>0</v>
      </c>
    </row>
    <row r="451" spans="1:19" s="743" customFormat="1" ht="24" customHeight="1" thickBot="1">
      <c r="A451" s="2075" t="s">
        <v>957</v>
      </c>
      <c r="B451" s="2076"/>
      <c r="C451" s="2076"/>
      <c r="D451" s="2076"/>
      <c r="E451" s="2076"/>
      <c r="F451" s="2076"/>
      <c r="G451" s="2076"/>
      <c r="H451" s="2076"/>
      <c r="I451" s="2076"/>
      <c r="J451" s="2076"/>
      <c r="K451" s="2076"/>
      <c r="L451" s="2076"/>
      <c r="M451" s="2076"/>
      <c r="N451" s="2076"/>
      <c r="O451" s="2076"/>
    </row>
    <row r="452" spans="1:19" ht="31.5">
      <c r="A452" s="912" t="s">
        <v>945</v>
      </c>
      <c r="B452" s="912" t="s">
        <v>947</v>
      </c>
      <c r="C452" s="912" t="s">
        <v>970</v>
      </c>
      <c r="D452" s="912" t="s">
        <v>949</v>
      </c>
      <c r="E452" s="748" t="s">
        <v>950</v>
      </c>
      <c r="F452" s="913" t="s">
        <v>702</v>
      </c>
    </row>
    <row r="453" spans="1:19">
      <c r="A453" s="768"/>
      <c r="B453" s="997"/>
      <c r="C453" s="915"/>
      <c r="D453" s="1045">
        <f>C453/1000</f>
        <v>0</v>
      </c>
      <c r="E453" s="1036">
        <f>D453*B453</f>
        <v>0</v>
      </c>
      <c r="F453" s="1037">
        <f>(E453*0.25*'Emission Factors'!$D$507)+(E453*0.75*'Emission Factors'!$D$471)*0.001</f>
        <v>0</v>
      </c>
    </row>
    <row r="454" spans="1:19">
      <c r="A454" s="768"/>
      <c r="B454" s="997"/>
      <c r="C454" s="915"/>
      <c r="D454" s="1045">
        <f t="shared" ref="D454:D460" si="64">C454/1000</f>
        <v>0</v>
      </c>
      <c r="E454" s="1036">
        <f t="shared" ref="E454:E460" si="65">D454*B454</f>
        <v>0</v>
      </c>
      <c r="F454" s="1037">
        <f>(E454*0.25*'Emission Factors'!$D$507)+(E454*0.75*'Emission Factors'!$D$471)*0.001</f>
        <v>0</v>
      </c>
    </row>
    <row r="455" spans="1:19">
      <c r="A455" s="768"/>
      <c r="B455" s="997"/>
      <c r="C455" s="915"/>
      <c r="D455" s="1045">
        <f t="shared" si="64"/>
        <v>0</v>
      </c>
      <c r="E455" s="1036">
        <f t="shared" si="65"/>
        <v>0</v>
      </c>
      <c r="F455" s="1037">
        <f>(E455*0.25*'Emission Factors'!$D$507)+(E455*0.75*'Emission Factors'!$D$471)*0.001</f>
        <v>0</v>
      </c>
    </row>
    <row r="456" spans="1:19">
      <c r="A456" s="768"/>
      <c r="B456" s="997"/>
      <c r="C456" s="915"/>
      <c r="D456" s="1045">
        <f t="shared" si="64"/>
        <v>0</v>
      </c>
      <c r="E456" s="1036">
        <f t="shared" si="65"/>
        <v>0</v>
      </c>
      <c r="F456" s="1037">
        <f>(E456*0.25*'Emission Factors'!$D$507)+(E456*0.75*'Emission Factors'!$D$471)*0.001</f>
        <v>0</v>
      </c>
    </row>
    <row r="457" spans="1:19">
      <c r="A457" s="768"/>
      <c r="B457" s="997"/>
      <c r="C457" s="915"/>
      <c r="D457" s="1045">
        <f t="shared" si="64"/>
        <v>0</v>
      </c>
      <c r="E457" s="1036">
        <f t="shared" si="65"/>
        <v>0</v>
      </c>
      <c r="F457" s="1037">
        <f>(E457*0.25*'Emission Factors'!$D$507)+(E457*0.75*'Emission Factors'!$D$471)*0.001</f>
        <v>0</v>
      </c>
    </row>
    <row r="458" spans="1:19">
      <c r="A458" s="768"/>
      <c r="B458" s="997"/>
      <c r="C458" s="915"/>
      <c r="D458" s="1045">
        <f t="shared" si="64"/>
        <v>0</v>
      </c>
      <c r="E458" s="1036">
        <f t="shared" si="65"/>
        <v>0</v>
      </c>
      <c r="F458" s="1037">
        <f>(E458*0.25*'Emission Factors'!$D$507)+(E458*0.75*'Emission Factors'!$D$471)*0.001</f>
        <v>0</v>
      </c>
    </row>
    <row r="459" spans="1:19">
      <c r="A459" s="768"/>
      <c r="B459" s="997"/>
      <c r="C459" s="915"/>
      <c r="D459" s="1045">
        <f t="shared" si="64"/>
        <v>0</v>
      </c>
      <c r="E459" s="1036">
        <f t="shared" si="65"/>
        <v>0</v>
      </c>
      <c r="F459" s="1037">
        <f>(E459*0.25*'Emission Factors'!$D$507)+(E459*0.75*'Emission Factors'!$D$471)*0.001</f>
        <v>0</v>
      </c>
    </row>
    <row r="460" spans="1:19">
      <c r="A460" s="768"/>
      <c r="B460" s="997"/>
      <c r="C460" s="915"/>
      <c r="D460" s="1045">
        <f t="shared" si="64"/>
        <v>0</v>
      </c>
      <c r="E460" s="1036">
        <f t="shared" si="65"/>
        <v>0</v>
      </c>
      <c r="F460" s="1037">
        <f>(E460*0.25*'Emission Factors'!$D$507)+(E460*0.75*'Emission Factors'!$D$471)*0.001</f>
        <v>0</v>
      </c>
    </row>
    <row r="463" spans="1:19" ht="31.5">
      <c r="A463" s="2028" t="s">
        <v>835</v>
      </c>
      <c r="B463" s="2074"/>
      <c r="C463" s="2074"/>
      <c r="D463" s="2074"/>
      <c r="E463" s="2074"/>
      <c r="F463" s="2074"/>
      <c r="G463" s="2074"/>
      <c r="H463" s="2074"/>
      <c r="I463" s="2074"/>
      <c r="J463" s="2074"/>
      <c r="K463" s="2074"/>
      <c r="L463" s="2074"/>
      <c r="M463" s="2074"/>
      <c r="N463" s="2074"/>
      <c r="O463" s="2074"/>
      <c r="P463" s="2074"/>
      <c r="Q463" s="2074"/>
      <c r="R463" s="2074"/>
      <c r="S463" s="2074"/>
    </row>
    <row r="464" spans="1:19" ht="18.75">
      <c r="A464" s="788" t="s">
        <v>976</v>
      </c>
    </row>
    <row r="466" spans="1:18" ht="41.45" customHeight="1">
      <c r="B466" s="692" t="s">
        <v>418</v>
      </c>
      <c r="C466" s="692" t="s">
        <v>419</v>
      </c>
      <c r="M466" s="712"/>
      <c r="N466" s="712"/>
      <c r="O466" s="712"/>
      <c r="P466" s="674"/>
      <c r="Q466" s="712"/>
      <c r="R466" s="674"/>
    </row>
    <row r="467" spans="1:18" ht="44.45" customHeight="1">
      <c r="A467" s="738"/>
      <c r="B467" s="692" t="s">
        <v>553</v>
      </c>
      <c r="C467" s="692" t="s">
        <v>553</v>
      </c>
    </row>
    <row r="468" spans="1:18" ht="18.75">
      <c r="A468" s="692" t="s">
        <v>67</v>
      </c>
      <c r="B468" s="739">
        <f>SUM(G488,F503,H519)</f>
        <v>0</v>
      </c>
      <c r="C468" s="739">
        <f>SUM(H488,G503,I519)</f>
        <v>0</v>
      </c>
    </row>
    <row r="469" spans="1:18" ht="18.75">
      <c r="A469" s="692" t="s">
        <v>68</v>
      </c>
      <c r="B469" s="739">
        <f>SUM(H535,H550)</f>
        <v>0</v>
      </c>
      <c r="C469" s="739">
        <f>SUM(I535,I550)</f>
        <v>0</v>
      </c>
    </row>
    <row r="470" spans="1:18" ht="19.5" customHeight="1">
      <c r="A470" s="692" t="s">
        <v>70</v>
      </c>
      <c r="B470" s="739">
        <f>SUM(H566,H580)</f>
        <v>0</v>
      </c>
      <c r="C470" s="739">
        <f>SUM(I566,I580)</f>
        <v>0</v>
      </c>
    </row>
    <row r="471" spans="1:18" ht="18.75">
      <c r="A471" s="692" t="s">
        <v>424</v>
      </c>
      <c r="B471" s="700">
        <f>SUM(B468:B470)</f>
        <v>0</v>
      </c>
      <c r="C471" s="700">
        <f>SUM(C468:C470)</f>
        <v>0</v>
      </c>
    </row>
    <row r="472" spans="1:18">
      <c r="B472" s="732"/>
      <c r="M472" s="712"/>
      <c r="N472" s="712"/>
      <c r="O472" s="712"/>
      <c r="P472" s="674"/>
      <c r="Q472" s="712"/>
      <c r="R472" s="674"/>
    </row>
    <row r="473" spans="1:18">
      <c r="B473" s="732"/>
      <c r="M473" s="712"/>
      <c r="N473" s="712"/>
      <c r="O473" s="712"/>
      <c r="P473" s="674"/>
      <c r="Q473" s="712"/>
      <c r="R473" s="674"/>
    </row>
    <row r="474" spans="1:18" ht="36">
      <c r="A474" s="2064" t="s">
        <v>67</v>
      </c>
      <c r="B474" s="2065"/>
      <c r="C474" s="2065"/>
      <c r="D474" s="2065"/>
      <c r="E474" s="2065"/>
      <c r="F474" s="2065"/>
      <c r="G474" s="2065"/>
      <c r="H474" s="2065"/>
      <c r="I474" s="2065"/>
      <c r="N474" s="712"/>
      <c r="O474" s="712"/>
    </row>
    <row r="475" spans="1:18" s="743" customFormat="1" ht="24" thickBot="1">
      <c r="A475" s="2004" t="s">
        <v>426</v>
      </c>
      <c r="B475" s="2005"/>
      <c r="C475" s="2006"/>
      <c r="D475" s="1991" t="s">
        <v>427</v>
      </c>
      <c r="E475" s="1992"/>
      <c r="F475" s="741"/>
      <c r="G475" s="742"/>
      <c r="H475" s="742"/>
      <c r="L475" s="694"/>
      <c r="M475" s="694"/>
      <c r="N475" s="694"/>
      <c r="O475" s="694"/>
    </row>
    <row r="476" spans="1:18" s="744" customFormat="1" ht="23.25">
      <c r="G476" s="745" t="s">
        <v>62</v>
      </c>
      <c r="H476" s="746" t="s">
        <v>92</v>
      </c>
      <c r="I476" s="767"/>
    </row>
    <row r="477" spans="1:18" s="744" customFormat="1" ht="70.5" customHeight="1">
      <c r="A477" s="748" t="s">
        <v>428</v>
      </c>
      <c r="B477" s="748" t="s">
        <v>429</v>
      </c>
      <c r="C477" s="748" t="s">
        <v>430</v>
      </c>
      <c r="D477" s="748" t="s">
        <v>420</v>
      </c>
      <c r="E477" s="748" t="s">
        <v>431</v>
      </c>
      <c r="F477" s="796" t="s">
        <v>432</v>
      </c>
      <c r="G477" s="749" t="s">
        <v>420</v>
      </c>
      <c r="H477" s="750" t="s">
        <v>420</v>
      </c>
    </row>
    <row r="478" spans="1:18" ht="18.75">
      <c r="A478" s="774"/>
      <c r="B478" s="752"/>
      <c r="C478" s="753">
        <f>B478*0.0036</f>
        <v>0</v>
      </c>
      <c r="D478" s="753">
        <f>C478*'Emission Factors'!$C$24*0.001</f>
        <v>0</v>
      </c>
      <c r="E478" s="753">
        <f>C478*'Emission Factors'!$D$24*0.001</f>
        <v>0</v>
      </c>
      <c r="F478" s="753">
        <f>C478*'Emission Factors'!$E$24*0.001</f>
        <v>0</v>
      </c>
      <c r="G478" s="754">
        <f>D478+E478+F478</f>
        <v>0</v>
      </c>
      <c r="H478" s="755">
        <f>C478*AVERAGE('Emission Factors'!$B$42:$C$46)*0.001</f>
        <v>0</v>
      </c>
      <c r="I478" s="744"/>
    </row>
    <row r="479" spans="1:18" ht="15.6" customHeight="1">
      <c r="A479" s="774"/>
      <c r="B479" s="752"/>
      <c r="C479" s="753">
        <f t="shared" ref="C479:C487" si="66">B479*0.0036</f>
        <v>0</v>
      </c>
      <c r="D479" s="753">
        <f>C479*'Emission Factors'!$C$24*0.001</f>
        <v>0</v>
      </c>
      <c r="E479" s="753">
        <f>C479*'Emission Factors'!$D$24*0.001</f>
        <v>0</v>
      </c>
      <c r="F479" s="753">
        <f>C479*'Emission Factors'!$E$24*0.001</f>
        <v>0</v>
      </c>
      <c r="G479" s="754">
        <f t="shared" ref="G479:G487" si="67">D479+E479+F479</f>
        <v>0</v>
      </c>
      <c r="H479" s="755">
        <f>C479*AVERAGE('Emission Factors'!$B$42:$C$46)*0.001</f>
        <v>0</v>
      </c>
    </row>
    <row r="480" spans="1:18">
      <c r="A480" s="774"/>
      <c r="B480" s="752"/>
      <c r="C480" s="753">
        <f t="shared" si="66"/>
        <v>0</v>
      </c>
      <c r="D480" s="753">
        <f>C480*'Emission Factors'!$C$24*0.001</f>
        <v>0</v>
      </c>
      <c r="E480" s="753">
        <f>C480*'Emission Factors'!$D$24*0.001</f>
        <v>0</v>
      </c>
      <c r="F480" s="753">
        <f>C480*'Emission Factors'!$E$24*0.001</f>
        <v>0</v>
      </c>
      <c r="G480" s="754">
        <f t="shared" si="67"/>
        <v>0</v>
      </c>
      <c r="H480" s="755">
        <f>C480*AVERAGE('Emission Factors'!$B$42:$C$46)*0.001</f>
        <v>0</v>
      </c>
    </row>
    <row r="481" spans="1:15">
      <c r="A481" s="774"/>
      <c r="B481" s="752"/>
      <c r="C481" s="753">
        <f t="shared" si="66"/>
        <v>0</v>
      </c>
      <c r="D481" s="753">
        <f>C481*'Emission Factors'!$C$24*0.001</f>
        <v>0</v>
      </c>
      <c r="E481" s="753">
        <f>C481*'Emission Factors'!$D$24*0.001</f>
        <v>0</v>
      </c>
      <c r="F481" s="753">
        <f>C481*'Emission Factors'!$E$24*0.001</f>
        <v>0</v>
      </c>
      <c r="G481" s="754">
        <f t="shared" si="67"/>
        <v>0</v>
      </c>
      <c r="H481" s="755">
        <f>C481*AVERAGE('Emission Factors'!$B$42:$C$46)*0.001</f>
        <v>0</v>
      </c>
    </row>
    <row r="482" spans="1:15">
      <c r="A482" s="774"/>
      <c r="B482" s="752"/>
      <c r="C482" s="753">
        <f t="shared" si="66"/>
        <v>0</v>
      </c>
      <c r="D482" s="753">
        <f>C482*'Emission Factors'!$C$24*0.001</f>
        <v>0</v>
      </c>
      <c r="E482" s="753">
        <f>C482*'Emission Factors'!$D$24*0.001</f>
        <v>0</v>
      </c>
      <c r="F482" s="753">
        <f>C482*'Emission Factors'!$E$24*0.001</f>
        <v>0</v>
      </c>
      <c r="G482" s="754">
        <f t="shared" si="67"/>
        <v>0</v>
      </c>
      <c r="H482" s="755">
        <f>C482*AVERAGE('Emission Factors'!$B$42:$C$46)*0.001</f>
        <v>0</v>
      </c>
    </row>
    <row r="483" spans="1:15">
      <c r="A483" s="774"/>
      <c r="B483" s="752"/>
      <c r="C483" s="753">
        <f t="shared" si="66"/>
        <v>0</v>
      </c>
      <c r="D483" s="753">
        <f>C483*'Emission Factors'!$C$24*0.001</f>
        <v>0</v>
      </c>
      <c r="E483" s="753">
        <f>C483*'Emission Factors'!$D$24*0.001</f>
        <v>0</v>
      </c>
      <c r="F483" s="753">
        <f>C483*'Emission Factors'!$E$24*0.001</f>
        <v>0</v>
      </c>
      <c r="G483" s="754">
        <f t="shared" si="67"/>
        <v>0</v>
      </c>
      <c r="H483" s="755">
        <f>C483*AVERAGE('Emission Factors'!$B$42:$C$46)*0.001</f>
        <v>0</v>
      </c>
    </row>
    <row r="484" spans="1:15" ht="15.6" customHeight="1">
      <c r="A484" s="774"/>
      <c r="B484" s="752"/>
      <c r="C484" s="753">
        <f t="shared" si="66"/>
        <v>0</v>
      </c>
      <c r="D484" s="753">
        <f>C484*'Emission Factors'!$C$24*0.001</f>
        <v>0</v>
      </c>
      <c r="E484" s="753">
        <f>C484*'Emission Factors'!$D$24*0.001</f>
        <v>0</v>
      </c>
      <c r="F484" s="753">
        <f>C484*'Emission Factors'!$E$24*0.001</f>
        <v>0</v>
      </c>
      <c r="G484" s="754">
        <f t="shared" si="67"/>
        <v>0</v>
      </c>
      <c r="H484" s="755">
        <f>C484*AVERAGE('Emission Factors'!$B$42:$C$46)*0.001</f>
        <v>0</v>
      </c>
    </row>
    <row r="485" spans="1:15">
      <c r="A485" s="774"/>
      <c r="B485" s="752"/>
      <c r="C485" s="753">
        <f t="shared" si="66"/>
        <v>0</v>
      </c>
      <c r="D485" s="753">
        <f>C485*'Emission Factors'!$C$24*0.001</f>
        <v>0</v>
      </c>
      <c r="E485" s="753">
        <f>C485*'Emission Factors'!$D$24*0.001</f>
        <v>0</v>
      </c>
      <c r="F485" s="753">
        <f>C485*'Emission Factors'!$E$24*0.001</f>
        <v>0</v>
      </c>
      <c r="G485" s="754">
        <f t="shared" si="67"/>
        <v>0</v>
      </c>
      <c r="H485" s="755">
        <f>C485*AVERAGE('Emission Factors'!$B$42:$C$46)*0.001</f>
        <v>0</v>
      </c>
    </row>
    <row r="486" spans="1:15">
      <c r="A486" s="774"/>
      <c r="B486" s="752"/>
      <c r="C486" s="753">
        <f t="shared" si="66"/>
        <v>0</v>
      </c>
      <c r="D486" s="753">
        <f>C486*'Emission Factors'!$C$24*0.001</f>
        <v>0</v>
      </c>
      <c r="E486" s="753">
        <f>C486*'Emission Factors'!$D$24*0.001</f>
        <v>0</v>
      </c>
      <c r="F486" s="753">
        <f>C486*'Emission Factors'!$E$24*0.001</f>
        <v>0</v>
      </c>
      <c r="G486" s="754">
        <f t="shared" si="67"/>
        <v>0</v>
      </c>
      <c r="H486" s="755">
        <f>C486*AVERAGE('Emission Factors'!$B$42:$C$46)*0.001</f>
        <v>0</v>
      </c>
    </row>
    <row r="487" spans="1:15" ht="16.5" thickBot="1">
      <c r="A487" s="774"/>
      <c r="B487" s="752"/>
      <c r="C487" s="753">
        <f t="shared" si="66"/>
        <v>0</v>
      </c>
      <c r="D487" s="753">
        <f>C487*'Emission Factors'!$C$24*0.001</f>
        <v>0</v>
      </c>
      <c r="E487" s="753">
        <f>C487*'Emission Factors'!$D$24*0.001</f>
        <v>0</v>
      </c>
      <c r="F487" s="753">
        <f>C487*'Emission Factors'!$E$24*0.001</f>
        <v>0</v>
      </c>
      <c r="G487" s="754">
        <f t="shared" si="67"/>
        <v>0</v>
      </c>
      <c r="H487" s="755">
        <f>C487*AVERAGE('Emission Factors'!$B$42:$C$46)*0.001</f>
        <v>0</v>
      </c>
    </row>
    <row r="488" spans="1:15" ht="16.5" thickBot="1">
      <c r="A488" s="769" t="s">
        <v>977</v>
      </c>
      <c r="F488" s="760" t="s">
        <v>434</v>
      </c>
      <c r="G488" s="761">
        <f>SUM(G478:G487)</f>
        <v>0</v>
      </c>
      <c r="H488" s="762">
        <f>SUM(H478:H487)</f>
        <v>0</v>
      </c>
    </row>
    <row r="489" spans="1:15" s="743" customFormat="1" ht="23.25">
      <c r="A489" s="758" t="s">
        <v>435</v>
      </c>
      <c r="B489" s="759"/>
      <c r="C489" s="759"/>
      <c r="D489" s="759"/>
      <c r="E489" s="742"/>
      <c r="F489" s="759"/>
      <c r="G489" s="742"/>
      <c r="H489" s="742"/>
      <c r="L489" s="742"/>
      <c r="M489" s="742"/>
      <c r="N489" s="742"/>
      <c r="O489" s="742"/>
    </row>
    <row r="490" spans="1:15" s="743" customFormat="1" ht="24" thickBot="1">
      <c r="A490" s="2004" t="s">
        <v>436</v>
      </c>
      <c r="B490" s="2005"/>
      <c r="C490" s="2006"/>
      <c r="D490" s="1991" t="s">
        <v>427</v>
      </c>
      <c r="E490" s="1992"/>
      <c r="F490" s="741"/>
      <c r="G490" s="742"/>
      <c r="H490" s="742"/>
      <c r="I490" s="767"/>
      <c r="L490" s="742"/>
      <c r="M490" s="742"/>
      <c r="N490" s="742"/>
      <c r="O490" s="767"/>
    </row>
    <row r="491" spans="1:15" ht="18.75">
      <c r="C491" s="744"/>
      <c r="D491" s="744"/>
      <c r="E491" s="744"/>
      <c r="F491" s="745" t="s">
        <v>62</v>
      </c>
      <c r="G491" s="746" t="s">
        <v>92</v>
      </c>
      <c r="H491" s="744"/>
    </row>
    <row r="492" spans="1:15" ht="76.5" customHeight="1">
      <c r="A492" s="748" t="s">
        <v>428</v>
      </c>
      <c r="B492" s="748" t="s">
        <v>437</v>
      </c>
      <c r="C492" s="748" t="s">
        <v>420</v>
      </c>
      <c r="D492" s="748" t="s">
        <v>431</v>
      </c>
      <c r="E492" s="796" t="s">
        <v>432</v>
      </c>
      <c r="F492" s="749" t="s">
        <v>420</v>
      </c>
      <c r="G492" s="750" t="s">
        <v>420</v>
      </c>
      <c r="H492" s="744"/>
    </row>
    <row r="493" spans="1:15">
      <c r="A493" s="774"/>
      <c r="B493" s="752"/>
      <c r="C493" s="753">
        <f>B493*'Emission Factors'!$C$24*0.001</f>
        <v>0</v>
      </c>
      <c r="D493" s="753">
        <f>B493*'Emission Factors'!$D$24*0.001</f>
        <v>0</v>
      </c>
      <c r="E493" s="753">
        <f>B493*'Emission Factors'!$E$24*0.001</f>
        <v>0</v>
      </c>
      <c r="F493" s="754">
        <f>C493+D493+E493</f>
        <v>0</v>
      </c>
      <c r="G493" s="755">
        <f>B493*AVERAGE('Emission Factors'!$B$42:$C$46)*0.001</f>
        <v>0</v>
      </c>
    </row>
    <row r="494" spans="1:15">
      <c r="A494" s="774"/>
      <c r="B494" s="752"/>
      <c r="C494" s="753">
        <f>B494*'Emission Factors'!$C$24*0.001</f>
        <v>0</v>
      </c>
      <c r="D494" s="753">
        <f>C494*'Emission Factors'!$D$24*0.001</f>
        <v>0</v>
      </c>
      <c r="E494" s="753">
        <f>D494*'Emission Factors'!$E$24*0.001</f>
        <v>0</v>
      </c>
      <c r="F494" s="754">
        <f t="shared" ref="F494:F502" si="68">C494+D494+E494</f>
        <v>0</v>
      </c>
      <c r="G494" s="755">
        <f>B494*AVERAGE('Emission Factors'!$B$42:$C$46)*0.001</f>
        <v>0</v>
      </c>
    </row>
    <row r="495" spans="1:15">
      <c r="A495" s="774"/>
      <c r="B495" s="752"/>
      <c r="C495" s="753">
        <f>B495*'Emission Factors'!$C$24*0.001</f>
        <v>0</v>
      </c>
      <c r="D495" s="753">
        <f>C495*'Emission Factors'!$D$24*0.001</f>
        <v>0</v>
      </c>
      <c r="E495" s="753">
        <f>D495*'Emission Factors'!$E$24*0.001</f>
        <v>0</v>
      </c>
      <c r="F495" s="754">
        <f t="shared" si="68"/>
        <v>0</v>
      </c>
      <c r="G495" s="755">
        <f>B495*AVERAGE('Emission Factors'!$B$42:$C$46)*0.001</f>
        <v>0</v>
      </c>
    </row>
    <row r="496" spans="1:15">
      <c r="A496" s="774"/>
      <c r="B496" s="752"/>
      <c r="C496" s="753">
        <f>B496*'Emission Factors'!$C$24*0.001</f>
        <v>0</v>
      </c>
      <c r="D496" s="753">
        <f>C496*'Emission Factors'!$D$24*0.001</f>
        <v>0</v>
      </c>
      <c r="E496" s="753">
        <f>D496*'Emission Factors'!$E$24*0.001</f>
        <v>0</v>
      </c>
      <c r="F496" s="754">
        <f t="shared" si="68"/>
        <v>0</v>
      </c>
      <c r="G496" s="755">
        <f>B496*AVERAGE('Emission Factors'!$B$42:$C$46)*0.001</f>
        <v>0</v>
      </c>
    </row>
    <row r="497" spans="1:22">
      <c r="A497" s="774"/>
      <c r="B497" s="752"/>
      <c r="C497" s="753">
        <f>B497*'Emission Factors'!$C$24*0.001</f>
        <v>0</v>
      </c>
      <c r="D497" s="753">
        <f>C497*'Emission Factors'!$D$24*0.001</f>
        <v>0</v>
      </c>
      <c r="E497" s="753">
        <f>D497*'Emission Factors'!$E$24*0.001</f>
        <v>0</v>
      </c>
      <c r="F497" s="754">
        <f t="shared" si="68"/>
        <v>0</v>
      </c>
      <c r="G497" s="755">
        <f>B497*AVERAGE('Emission Factors'!$B$42:$C$46)*0.001</f>
        <v>0</v>
      </c>
    </row>
    <row r="498" spans="1:22">
      <c r="A498" s="774"/>
      <c r="B498" s="752"/>
      <c r="C498" s="753">
        <f>B498*'Emission Factors'!$C$24*0.001</f>
        <v>0</v>
      </c>
      <c r="D498" s="753">
        <f>C498*'Emission Factors'!$D$24*0.001</f>
        <v>0</v>
      </c>
      <c r="E498" s="753">
        <f>D498*'Emission Factors'!$E$24*0.001</f>
        <v>0</v>
      </c>
      <c r="F498" s="754">
        <f t="shared" si="68"/>
        <v>0</v>
      </c>
      <c r="G498" s="755">
        <f>B498*AVERAGE('Emission Factors'!$B$42:$C$46)*0.001</f>
        <v>0</v>
      </c>
    </row>
    <row r="499" spans="1:22">
      <c r="A499" s="774"/>
      <c r="B499" s="752"/>
      <c r="C499" s="753">
        <f>B499*'Emission Factors'!$C$24*0.001</f>
        <v>0</v>
      </c>
      <c r="D499" s="753">
        <f>C499*'Emission Factors'!$D$24*0.001</f>
        <v>0</v>
      </c>
      <c r="E499" s="753">
        <f>D499*'Emission Factors'!$E$24*0.001</f>
        <v>0</v>
      </c>
      <c r="F499" s="754">
        <f t="shared" si="68"/>
        <v>0</v>
      </c>
      <c r="G499" s="755">
        <f>B499*AVERAGE('Emission Factors'!$B$42:$C$46)*0.001</f>
        <v>0</v>
      </c>
    </row>
    <row r="500" spans="1:22">
      <c r="A500" s="774"/>
      <c r="B500" s="752"/>
      <c r="C500" s="753">
        <f>B500*'Emission Factors'!$C$24*0.001</f>
        <v>0</v>
      </c>
      <c r="D500" s="753">
        <f>C500*'Emission Factors'!$D$24*0.001</f>
        <v>0</v>
      </c>
      <c r="E500" s="753">
        <f>D500*'Emission Factors'!$E$24*0.001</f>
        <v>0</v>
      </c>
      <c r="F500" s="754">
        <f t="shared" si="68"/>
        <v>0</v>
      </c>
      <c r="G500" s="755">
        <f>B500*AVERAGE('Emission Factors'!$B$42:$C$46)*0.001</f>
        <v>0</v>
      </c>
    </row>
    <row r="501" spans="1:22">
      <c r="A501" s="774"/>
      <c r="B501" s="752"/>
      <c r="C501" s="753">
        <f>B501*'Emission Factors'!$C$24*0.001</f>
        <v>0</v>
      </c>
      <c r="D501" s="753">
        <f>C501*'Emission Factors'!$D$24*0.001</f>
        <v>0</v>
      </c>
      <c r="E501" s="753">
        <f>D501*'Emission Factors'!$E$24*0.001</f>
        <v>0</v>
      </c>
      <c r="F501" s="754">
        <f t="shared" si="68"/>
        <v>0</v>
      </c>
      <c r="G501" s="755">
        <f>B501*AVERAGE('Emission Factors'!$B$42:$C$46)*0.001</f>
        <v>0</v>
      </c>
    </row>
    <row r="502" spans="1:22" ht="16.5" thickBot="1">
      <c r="A502" s="774"/>
      <c r="B502" s="752"/>
      <c r="C502" s="753">
        <f>B502*'Emission Factors'!$C$24*0.001</f>
        <v>0</v>
      </c>
      <c r="D502" s="753">
        <f>C502*'Emission Factors'!$D$24*0.001</f>
        <v>0</v>
      </c>
      <c r="E502" s="753">
        <f>D502*'Emission Factors'!$E$24*0.001</f>
        <v>0</v>
      </c>
      <c r="F502" s="754">
        <f t="shared" si="68"/>
        <v>0</v>
      </c>
      <c r="G502" s="755">
        <f>B502*AVERAGE('Emission Factors'!$B$42:$C$46)*0.001</f>
        <v>0</v>
      </c>
    </row>
    <row r="503" spans="1:22" ht="16.5" thickBot="1">
      <c r="A503" s="769" t="s">
        <v>977</v>
      </c>
      <c r="E503" s="760" t="s">
        <v>434</v>
      </c>
      <c r="F503" s="761">
        <f>SUM(F493:F502)</f>
        <v>0</v>
      </c>
      <c r="G503" s="762">
        <f>SUM(G493:G502)</f>
        <v>0</v>
      </c>
      <c r="K503" s="797"/>
      <c r="L503" s="797"/>
      <c r="M503" s="797"/>
      <c r="N503" s="797"/>
    </row>
    <row r="504" spans="1:22" ht="23.25">
      <c r="A504" s="775" t="s">
        <v>439</v>
      </c>
      <c r="B504" s="776" t="s">
        <v>440</v>
      </c>
      <c r="C504" s="759"/>
      <c r="D504" s="742"/>
      <c r="E504" s="759"/>
      <c r="F504" s="742"/>
      <c r="G504" s="742"/>
      <c r="H504" s="742"/>
      <c r="L504" s="742"/>
      <c r="M504" s="742"/>
      <c r="N504" s="742"/>
      <c r="O504" s="742"/>
    </row>
    <row r="505" spans="1:22" s="743" customFormat="1" ht="23.25">
      <c r="A505" s="758" t="s">
        <v>435</v>
      </c>
      <c r="B505" s="759"/>
      <c r="C505" s="759"/>
      <c r="D505" s="759"/>
      <c r="E505" s="742"/>
      <c r="F505" s="759"/>
      <c r="G505" s="742"/>
      <c r="H505" s="742"/>
    </row>
    <row r="506" spans="1:22" s="743" customFormat="1" ht="24" customHeight="1" thickBot="1">
      <c r="A506" s="2004" t="s">
        <v>978</v>
      </c>
      <c r="B506" s="2005"/>
      <c r="C506" s="2006"/>
      <c r="D506" s="1991" t="s">
        <v>427</v>
      </c>
      <c r="E506" s="1992"/>
      <c r="F506" s="741"/>
      <c r="G506" s="742"/>
      <c r="H506" s="742"/>
      <c r="S506" s="694"/>
      <c r="T506" s="694"/>
      <c r="U506" s="694"/>
      <c r="V506" s="694"/>
    </row>
    <row r="507" spans="1:22" ht="23.25">
      <c r="D507" s="744"/>
      <c r="E507" s="744"/>
      <c r="F507" s="744"/>
      <c r="G507" s="744"/>
      <c r="H507" s="745" t="s">
        <v>62</v>
      </c>
      <c r="I507" s="746" t="s">
        <v>92</v>
      </c>
      <c r="J507" s="744"/>
      <c r="K507" s="744"/>
      <c r="L507" s="744"/>
      <c r="M507" s="744"/>
      <c r="N507" s="742"/>
    </row>
    <row r="508" spans="1:22" ht="78" customHeight="1">
      <c r="A508" s="798" t="s">
        <v>428</v>
      </c>
      <c r="B508" s="798" t="s">
        <v>979</v>
      </c>
      <c r="C508" s="748" t="s">
        <v>429</v>
      </c>
      <c r="D508" s="748" t="s">
        <v>430</v>
      </c>
      <c r="E508" s="748" t="s">
        <v>420</v>
      </c>
      <c r="F508" s="748" t="s">
        <v>431</v>
      </c>
      <c r="G508" s="796" t="s">
        <v>432</v>
      </c>
      <c r="H508" s="749" t="s">
        <v>420</v>
      </c>
      <c r="I508" s="750" t="s">
        <v>420</v>
      </c>
      <c r="J508" s="744"/>
      <c r="K508" s="744"/>
      <c r="L508" s="744"/>
      <c r="M508" s="744"/>
      <c r="N508" s="744"/>
    </row>
    <row r="509" spans="1:22" ht="18.75">
      <c r="A509" s="751"/>
      <c r="B509" s="751"/>
      <c r="C509" s="753">
        <f>B509/0.113</f>
        <v>0</v>
      </c>
      <c r="D509" s="753">
        <f>C509*0.0036</f>
        <v>0</v>
      </c>
      <c r="E509" s="753">
        <f>D509*'Emission Factors'!$C$24*0.001</f>
        <v>0</v>
      </c>
      <c r="F509" s="753">
        <f>D509*'Emission Factors'!$D$24*0.001</f>
        <v>0</v>
      </c>
      <c r="G509" s="753">
        <f>D509*'Emission Factors'!$E$24*0.001</f>
        <v>0</v>
      </c>
      <c r="H509" s="754">
        <f>E509+F509+G509</f>
        <v>0</v>
      </c>
      <c r="I509" s="755">
        <f>D509*AVERAGE('Emission Factors'!$B$42:$C$46)*0.001</f>
        <v>0</v>
      </c>
      <c r="N509" s="744"/>
    </row>
    <row r="510" spans="1:22">
      <c r="A510" s="751"/>
      <c r="B510" s="751"/>
      <c r="C510" s="753">
        <f t="shared" ref="C510:C518" si="69">B510/0.113</f>
        <v>0</v>
      </c>
      <c r="D510" s="753">
        <f t="shared" ref="D510:D518" si="70">C510*0.0036</f>
        <v>0</v>
      </c>
      <c r="E510" s="753">
        <f>D510*'Emission Factors'!$C$24*0.001</f>
        <v>0</v>
      </c>
      <c r="F510" s="753">
        <f>D510*'Emission Factors'!$D$24*0.001</f>
        <v>0</v>
      </c>
      <c r="G510" s="753">
        <f>D510*'Emission Factors'!$E$24*0.001</f>
        <v>0</v>
      </c>
      <c r="H510" s="754">
        <f t="shared" ref="H510:H518" si="71">E510+F510+G510</f>
        <v>0</v>
      </c>
      <c r="I510" s="755">
        <f>D510*AVERAGE('Emission Factors'!$B$42:$C$46)*0.001</f>
        <v>0</v>
      </c>
    </row>
    <row r="511" spans="1:22">
      <c r="A511" s="751"/>
      <c r="B511" s="751"/>
      <c r="C511" s="753">
        <f t="shared" si="69"/>
        <v>0</v>
      </c>
      <c r="D511" s="753">
        <f t="shared" si="70"/>
        <v>0</v>
      </c>
      <c r="E511" s="753">
        <f>D511*'Emission Factors'!$C$24*0.001</f>
        <v>0</v>
      </c>
      <c r="F511" s="753">
        <f>D511*'Emission Factors'!$D$24*0.001</f>
        <v>0</v>
      </c>
      <c r="G511" s="753">
        <f>D511*'Emission Factors'!$E$24*0.001</f>
        <v>0</v>
      </c>
      <c r="H511" s="754">
        <f t="shared" si="71"/>
        <v>0</v>
      </c>
      <c r="I511" s="755">
        <f>D511*AVERAGE('Emission Factors'!$B$42:$C$46)*0.001</f>
        <v>0</v>
      </c>
    </row>
    <row r="512" spans="1:22">
      <c r="A512" s="751"/>
      <c r="B512" s="751"/>
      <c r="C512" s="753">
        <f t="shared" si="69"/>
        <v>0</v>
      </c>
      <c r="D512" s="753">
        <f t="shared" si="70"/>
        <v>0</v>
      </c>
      <c r="E512" s="753">
        <f>D512*'Emission Factors'!$C$24*0.001</f>
        <v>0</v>
      </c>
      <c r="F512" s="753">
        <f>D512*'Emission Factors'!$D$24*0.001</f>
        <v>0</v>
      </c>
      <c r="G512" s="753">
        <f>D512*'Emission Factors'!$E$24*0.001</f>
        <v>0</v>
      </c>
      <c r="H512" s="754">
        <f t="shared" si="71"/>
        <v>0</v>
      </c>
      <c r="I512" s="755">
        <f>D512*AVERAGE('Emission Factors'!$B$42:$C$46)*0.001</f>
        <v>0</v>
      </c>
    </row>
    <row r="513" spans="1:14">
      <c r="A513" s="751"/>
      <c r="B513" s="751"/>
      <c r="C513" s="753">
        <f t="shared" si="69"/>
        <v>0</v>
      </c>
      <c r="D513" s="753">
        <f t="shared" si="70"/>
        <v>0</v>
      </c>
      <c r="E513" s="753">
        <f>D513*'Emission Factors'!$C$24*0.001</f>
        <v>0</v>
      </c>
      <c r="F513" s="753">
        <f>D513*'Emission Factors'!$D$24*0.001</f>
        <v>0</v>
      </c>
      <c r="G513" s="753">
        <f>D513*'Emission Factors'!$E$24*0.001</f>
        <v>0</v>
      </c>
      <c r="H513" s="754">
        <f t="shared" si="71"/>
        <v>0</v>
      </c>
      <c r="I513" s="755">
        <f>D513*AVERAGE('Emission Factors'!$B$42:$C$46)*0.001</f>
        <v>0</v>
      </c>
    </row>
    <row r="514" spans="1:14">
      <c r="A514" s="751"/>
      <c r="B514" s="751"/>
      <c r="C514" s="753">
        <f t="shared" si="69"/>
        <v>0</v>
      </c>
      <c r="D514" s="753">
        <f t="shared" si="70"/>
        <v>0</v>
      </c>
      <c r="E514" s="753">
        <f>D514*'Emission Factors'!$C$24*0.001</f>
        <v>0</v>
      </c>
      <c r="F514" s="753">
        <f>D514*'Emission Factors'!$D$24*0.001</f>
        <v>0</v>
      </c>
      <c r="G514" s="753">
        <f>D514*'Emission Factors'!$E$24*0.001</f>
        <v>0</v>
      </c>
      <c r="H514" s="754">
        <f t="shared" si="71"/>
        <v>0</v>
      </c>
      <c r="I514" s="755">
        <f>D514*AVERAGE('Emission Factors'!$B$42:$C$46)*0.001</f>
        <v>0</v>
      </c>
    </row>
    <row r="515" spans="1:14">
      <c r="A515" s="751"/>
      <c r="B515" s="751"/>
      <c r="C515" s="753">
        <f t="shared" si="69"/>
        <v>0</v>
      </c>
      <c r="D515" s="753">
        <f t="shared" si="70"/>
        <v>0</v>
      </c>
      <c r="E515" s="753">
        <f>D515*'Emission Factors'!$C$24*0.001</f>
        <v>0</v>
      </c>
      <c r="F515" s="753">
        <f>D515*'Emission Factors'!$D$24*0.001</f>
        <v>0</v>
      </c>
      <c r="G515" s="753">
        <f>D515*'Emission Factors'!$E$24*0.001</f>
        <v>0</v>
      </c>
      <c r="H515" s="754">
        <f t="shared" si="71"/>
        <v>0</v>
      </c>
      <c r="I515" s="755">
        <f>D515*AVERAGE('Emission Factors'!$B$42:$C$46)*0.001</f>
        <v>0</v>
      </c>
    </row>
    <row r="516" spans="1:14">
      <c r="A516" s="751"/>
      <c r="B516" s="751"/>
      <c r="C516" s="753">
        <f t="shared" si="69"/>
        <v>0</v>
      </c>
      <c r="D516" s="753">
        <f t="shared" si="70"/>
        <v>0</v>
      </c>
      <c r="E516" s="753">
        <f>D516*'Emission Factors'!$C$24*0.001</f>
        <v>0</v>
      </c>
      <c r="F516" s="753">
        <f>D516*'Emission Factors'!$D$24*0.001</f>
        <v>0</v>
      </c>
      <c r="G516" s="753">
        <f>D516*'Emission Factors'!$E$24*0.001</f>
        <v>0</v>
      </c>
      <c r="H516" s="754">
        <f t="shared" si="71"/>
        <v>0</v>
      </c>
      <c r="I516" s="755">
        <f>D516*AVERAGE('Emission Factors'!$B$42:$C$46)*0.001</f>
        <v>0</v>
      </c>
    </row>
    <row r="517" spans="1:14">
      <c r="A517" s="751"/>
      <c r="B517" s="751"/>
      <c r="C517" s="753">
        <f t="shared" si="69"/>
        <v>0</v>
      </c>
      <c r="D517" s="753">
        <f t="shared" si="70"/>
        <v>0</v>
      </c>
      <c r="E517" s="753">
        <f>D517*'Emission Factors'!$C$24*0.001</f>
        <v>0</v>
      </c>
      <c r="F517" s="753">
        <f>D517*'Emission Factors'!$D$24*0.001</f>
        <v>0</v>
      </c>
      <c r="G517" s="753">
        <f>D517*'Emission Factors'!$E$24*0.001</f>
        <v>0</v>
      </c>
      <c r="H517" s="754">
        <f t="shared" si="71"/>
        <v>0</v>
      </c>
      <c r="I517" s="755">
        <f>D517*AVERAGE('Emission Factors'!$B$42:$C$46)*0.001</f>
        <v>0</v>
      </c>
    </row>
    <row r="518" spans="1:14" ht="16.5" thickBot="1">
      <c r="A518" s="751"/>
      <c r="B518" s="751"/>
      <c r="C518" s="753">
        <f t="shared" si="69"/>
        <v>0</v>
      </c>
      <c r="D518" s="753">
        <f t="shared" si="70"/>
        <v>0</v>
      </c>
      <c r="E518" s="753">
        <f>D518*'Emission Factors'!$C$24*0.001</f>
        <v>0</v>
      </c>
      <c r="F518" s="753">
        <f>D518*'Emission Factors'!$D$24*0.001</f>
        <v>0</v>
      </c>
      <c r="G518" s="753">
        <f>D518*'Emission Factors'!$E$24*0.001</f>
        <v>0</v>
      </c>
      <c r="H518" s="754">
        <f t="shared" si="71"/>
        <v>0</v>
      </c>
      <c r="I518" s="755">
        <f>D518*AVERAGE('Emission Factors'!$B$42:$C$46)*0.001</f>
        <v>0</v>
      </c>
    </row>
    <row r="519" spans="1:14" ht="16.5" thickBot="1">
      <c r="A519" s="769" t="s">
        <v>977</v>
      </c>
      <c r="G519" s="760" t="s">
        <v>434</v>
      </c>
      <c r="H519" s="761">
        <f>SUM(H509:H518)</f>
        <v>0</v>
      </c>
      <c r="I519" s="762">
        <f>SUM(I509:I518)</f>
        <v>0</v>
      </c>
    </row>
    <row r="521" spans="1:14" s="740" customFormat="1" ht="36">
      <c r="A521" s="2064" t="s">
        <v>68</v>
      </c>
      <c r="B521" s="2065"/>
      <c r="C521" s="2065"/>
      <c r="D521" s="2065"/>
      <c r="E521" s="2065"/>
      <c r="F521" s="2065"/>
      <c r="G521" s="2065"/>
      <c r="H521" s="2065"/>
      <c r="I521" s="2065"/>
      <c r="J521" s="694"/>
      <c r="N521" s="694"/>
    </row>
    <row r="522" spans="1:14" s="743" customFormat="1" ht="24" thickBot="1">
      <c r="A522" s="2004" t="s">
        <v>444</v>
      </c>
      <c r="B522" s="2005"/>
      <c r="C522" s="2006"/>
      <c r="D522" s="1991" t="s">
        <v>427</v>
      </c>
      <c r="E522" s="1992"/>
      <c r="F522" s="759"/>
      <c r="G522" s="742"/>
      <c r="H522" s="742"/>
      <c r="I522" s="742"/>
      <c r="J522" s="694"/>
      <c r="K522" s="742"/>
      <c r="L522" s="742"/>
      <c r="M522" s="742"/>
      <c r="N522" s="694"/>
    </row>
    <row r="523" spans="1:14" ht="36" customHeight="1">
      <c r="E523" s="744"/>
      <c r="F523" s="744"/>
      <c r="G523" s="744"/>
      <c r="H523" s="745" t="s">
        <v>62</v>
      </c>
      <c r="I523" s="746" t="s">
        <v>92</v>
      </c>
    </row>
    <row r="524" spans="1:14" ht="85.5" customHeight="1">
      <c r="A524" s="773" t="s">
        <v>428</v>
      </c>
      <c r="B524" s="748" t="s">
        <v>446</v>
      </c>
      <c r="C524" s="748" t="s">
        <v>447</v>
      </c>
      <c r="D524" s="748" t="s">
        <v>448</v>
      </c>
      <c r="E524" s="748" t="s">
        <v>420</v>
      </c>
      <c r="F524" s="748" t="s">
        <v>431</v>
      </c>
      <c r="G524" s="748" t="s">
        <v>432</v>
      </c>
      <c r="H524" s="749" t="s">
        <v>420</v>
      </c>
      <c r="I524" s="750" t="s">
        <v>420</v>
      </c>
    </row>
    <row r="525" spans="1:14">
      <c r="A525" s="774"/>
      <c r="B525" s="752"/>
      <c r="C525" s="753">
        <f>B525/1000</f>
        <v>0</v>
      </c>
      <c r="D525" s="753">
        <f>'Emission Factors'!$B$69*C525</f>
        <v>0</v>
      </c>
      <c r="E525" s="753">
        <f>'Emission Factors'!$C$69*$D525*0.001</f>
        <v>0</v>
      </c>
      <c r="F525" s="753">
        <f>'Emission Factors'!$D$69*$D525*0.001</f>
        <v>0</v>
      </c>
      <c r="G525" s="753">
        <f>'Emission Factors'!$E$69*$D525*0.001</f>
        <v>0</v>
      </c>
      <c r="H525" s="754">
        <f t="shared" ref="H525:H534" si="72">E525+F525+G525</f>
        <v>0</v>
      </c>
      <c r="I525" s="755">
        <f>D525*'Emission Factors'!$G$69*0.001</f>
        <v>0</v>
      </c>
    </row>
    <row r="526" spans="1:14">
      <c r="A526" s="774"/>
      <c r="B526" s="752"/>
      <c r="C526" s="753">
        <f t="shared" ref="C526:C534" si="73">B526/1000</f>
        <v>0</v>
      </c>
      <c r="D526" s="753">
        <f>'Emission Factors'!$B$69*C526</f>
        <v>0</v>
      </c>
      <c r="E526" s="753">
        <f>'Emission Factors'!$C$69*$D526*0.001</f>
        <v>0</v>
      </c>
      <c r="F526" s="753">
        <f>'Emission Factors'!$D$69*$D526*0.001</f>
        <v>0</v>
      </c>
      <c r="G526" s="753">
        <f>'Emission Factors'!$E$69*$D526*0.001</f>
        <v>0</v>
      </c>
      <c r="H526" s="754">
        <f t="shared" si="72"/>
        <v>0</v>
      </c>
      <c r="I526" s="755">
        <f>D526*'Emission Factors'!$G$69*0.001</f>
        <v>0</v>
      </c>
    </row>
    <row r="527" spans="1:14">
      <c r="A527" s="774"/>
      <c r="B527" s="752"/>
      <c r="C527" s="753">
        <f t="shared" si="73"/>
        <v>0</v>
      </c>
      <c r="D527" s="753">
        <f>'Emission Factors'!$B$69*C527</f>
        <v>0</v>
      </c>
      <c r="E527" s="753">
        <f>'Emission Factors'!$C$69*$D527*0.001</f>
        <v>0</v>
      </c>
      <c r="F527" s="753">
        <f>'Emission Factors'!$D$69*$D527*0.001</f>
        <v>0</v>
      </c>
      <c r="G527" s="753">
        <f>'Emission Factors'!$E$69*$D527*0.001</f>
        <v>0</v>
      </c>
      <c r="H527" s="754">
        <f t="shared" si="72"/>
        <v>0</v>
      </c>
      <c r="I527" s="755">
        <f>D527*'Emission Factors'!$G$69*0.001</f>
        <v>0</v>
      </c>
    </row>
    <row r="528" spans="1:14">
      <c r="A528" s="774"/>
      <c r="B528" s="752"/>
      <c r="C528" s="753">
        <f t="shared" si="73"/>
        <v>0</v>
      </c>
      <c r="D528" s="753">
        <f>'Emission Factors'!$B$69*C528</f>
        <v>0</v>
      </c>
      <c r="E528" s="753">
        <f>'Emission Factors'!$C$69*$D528*0.001</f>
        <v>0</v>
      </c>
      <c r="F528" s="753">
        <f>'Emission Factors'!$D$69*$D528*0.001</f>
        <v>0</v>
      </c>
      <c r="G528" s="753">
        <f>'Emission Factors'!$E$69*$D528*0.001</f>
        <v>0</v>
      </c>
      <c r="H528" s="754">
        <f t="shared" si="72"/>
        <v>0</v>
      </c>
      <c r="I528" s="755">
        <f>D528*'Emission Factors'!$G$69*0.001</f>
        <v>0</v>
      </c>
    </row>
    <row r="529" spans="1:11">
      <c r="A529" s="774"/>
      <c r="B529" s="752"/>
      <c r="C529" s="753">
        <f t="shared" si="73"/>
        <v>0</v>
      </c>
      <c r="D529" s="753">
        <f>'Emission Factors'!$B$69*C529</f>
        <v>0</v>
      </c>
      <c r="E529" s="753">
        <f>'Emission Factors'!$C$69*$D529*0.001</f>
        <v>0</v>
      </c>
      <c r="F529" s="753">
        <f>'Emission Factors'!$D$69*$D529*0.001</f>
        <v>0</v>
      </c>
      <c r="G529" s="753">
        <f>'Emission Factors'!$E$69*$D529*0.001</f>
        <v>0</v>
      </c>
      <c r="H529" s="754">
        <f t="shared" si="72"/>
        <v>0</v>
      </c>
      <c r="I529" s="755">
        <f>D529*'Emission Factors'!$G$69*0.001</f>
        <v>0</v>
      </c>
    </row>
    <row r="530" spans="1:11">
      <c r="A530" s="774"/>
      <c r="B530" s="752"/>
      <c r="C530" s="753">
        <f t="shared" si="73"/>
        <v>0</v>
      </c>
      <c r="D530" s="753">
        <f>'Emission Factors'!$B$69*C530</f>
        <v>0</v>
      </c>
      <c r="E530" s="753">
        <f>'Emission Factors'!$C$69*$D530*0.001</f>
        <v>0</v>
      </c>
      <c r="F530" s="753">
        <f>'Emission Factors'!$D$69*$D530*0.001</f>
        <v>0</v>
      </c>
      <c r="G530" s="753">
        <f>'Emission Factors'!$E$69*$D530*0.001</f>
        <v>0</v>
      </c>
      <c r="H530" s="754">
        <f t="shared" si="72"/>
        <v>0</v>
      </c>
      <c r="I530" s="755">
        <f>D530*'Emission Factors'!$G$69*0.001</f>
        <v>0</v>
      </c>
    </row>
    <row r="531" spans="1:11">
      <c r="A531" s="774"/>
      <c r="B531" s="752"/>
      <c r="C531" s="753">
        <f t="shared" si="73"/>
        <v>0</v>
      </c>
      <c r="D531" s="753">
        <f>'Emission Factors'!$B$69*C531</f>
        <v>0</v>
      </c>
      <c r="E531" s="753">
        <f>'Emission Factors'!$C$69*$D531*0.001</f>
        <v>0</v>
      </c>
      <c r="F531" s="753">
        <f>'Emission Factors'!$D$69*$D531*0.001</f>
        <v>0</v>
      </c>
      <c r="G531" s="753">
        <f>'Emission Factors'!$E$69*$D531*0.001</f>
        <v>0</v>
      </c>
      <c r="H531" s="754">
        <f t="shared" si="72"/>
        <v>0</v>
      </c>
      <c r="I531" s="755">
        <f>D531*'Emission Factors'!$G$69*0.001</f>
        <v>0</v>
      </c>
    </row>
    <row r="532" spans="1:11">
      <c r="A532" s="774"/>
      <c r="B532" s="752"/>
      <c r="C532" s="753">
        <f t="shared" si="73"/>
        <v>0</v>
      </c>
      <c r="D532" s="753">
        <f>'Emission Factors'!$B$69*C532</f>
        <v>0</v>
      </c>
      <c r="E532" s="753">
        <f>'Emission Factors'!$C$69*$D532*0.001</f>
        <v>0</v>
      </c>
      <c r="F532" s="753">
        <f>'Emission Factors'!$D$69*$D532*0.001</f>
        <v>0</v>
      </c>
      <c r="G532" s="753">
        <f>'Emission Factors'!$E$69*$D532*0.001</f>
        <v>0</v>
      </c>
      <c r="H532" s="754">
        <f t="shared" si="72"/>
        <v>0</v>
      </c>
      <c r="I532" s="755">
        <f>D532*'Emission Factors'!$G$69*0.001</f>
        <v>0</v>
      </c>
    </row>
    <row r="533" spans="1:11">
      <c r="A533" s="774"/>
      <c r="B533" s="752"/>
      <c r="C533" s="753">
        <f t="shared" si="73"/>
        <v>0</v>
      </c>
      <c r="D533" s="753">
        <f>'Emission Factors'!$B$69*C533</f>
        <v>0</v>
      </c>
      <c r="E533" s="753">
        <f>'Emission Factors'!$C$69*$D533*0.001</f>
        <v>0</v>
      </c>
      <c r="F533" s="753">
        <f>'Emission Factors'!$D$69*$D533*0.001</f>
        <v>0</v>
      </c>
      <c r="G533" s="753">
        <f>'Emission Factors'!$E$69*$D533*0.001</f>
        <v>0</v>
      </c>
      <c r="H533" s="754">
        <f t="shared" si="72"/>
        <v>0</v>
      </c>
      <c r="I533" s="755">
        <f>D533*'Emission Factors'!$G$69*0.001</f>
        <v>0</v>
      </c>
    </row>
    <row r="534" spans="1:11" ht="16.5" thickBot="1">
      <c r="A534" s="774"/>
      <c r="B534" s="752"/>
      <c r="C534" s="753">
        <f t="shared" si="73"/>
        <v>0</v>
      </c>
      <c r="D534" s="753">
        <f>'Emission Factors'!$B$69*C534</f>
        <v>0</v>
      </c>
      <c r="E534" s="753">
        <f>'Emission Factors'!$C$69*$D534*0.001</f>
        <v>0</v>
      </c>
      <c r="F534" s="753">
        <f>'Emission Factors'!$D$69*$D534*0.001</f>
        <v>0</v>
      </c>
      <c r="G534" s="753">
        <f>'Emission Factors'!$E$69*$D534*0.001</f>
        <v>0</v>
      </c>
      <c r="H534" s="771">
        <f t="shared" si="72"/>
        <v>0</v>
      </c>
      <c r="I534" s="755">
        <f>D534*'Emission Factors'!$G$69*0.001</f>
        <v>0</v>
      </c>
    </row>
    <row r="535" spans="1:11" ht="24" thickBot="1">
      <c r="A535" s="775" t="s">
        <v>452</v>
      </c>
      <c r="B535" s="776" t="s">
        <v>440</v>
      </c>
      <c r="G535" s="760" t="s">
        <v>434</v>
      </c>
      <c r="H535" s="761">
        <f>SUM(H525:H534)</f>
        <v>0</v>
      </c>
      <c r="I535" s="762">
        <f>SUM(I525:I534)</f>
        <v>0</v>
      </c>
      <c r="K535" s="743"/>
    </row>
    <row r="536" spans="1:11" s="743" customFormat="1" ht="23.25">
      <c r="A536" s="758" t="s">
        <v>435</v>
      </c>
      <c r="K536" s="694"/>
    </row>
    <row r="537" spans="1:11" s="743" customFormat="1" ht="24" thickBot="1">
      <c r="A537" s="2004" t="s">
        <v>453</v>
      </c>
      <c r="B537" s="2005"/>
      <c r="C537" s="2006"/>
      <c r="D537" s="1991" t="s">
        <v>427</v>
      </c>
      <c r="E537" s="1992"/>
      <c r="F537" s="759"/>
      <c r="G537" s="742"/>
      <c r="H537" s="742"/>
      <c r="K537" s="694"/>
    </row>
    <row r="538" spans="1:11" ht="23.45" customHeight="1">
      <c r="E538" s="744"/>
      <c r="F538" s="744"/>
      <c r="G538" s="744"/>
      <c r="H538" s="745" t="s">
        <v>62</v>
      </c>
      <c r="I538" s="746" t="s">
        <v>92</v>
      </c>
    </row>
    <row r="539" spans="1:11" ht="77.25" customHeight="1">
      <c r="A539" s="773" t="s">
        <v>428</v>
      </c>
      <c r="B539" s="798" t="s">
        <v>979</v>
      </c>
      <c r="C539" s="748" t="s">
        <v>447</v>
      </c>
      <c r="D539" s="748" t="s">
        <v>448</v>
      </c>
      <c r="E539" s="748" t="s">
        <v>420</v>
      </c>
      <c r="F539" s="748" t="s">
        <v>431</v>
      </c>
      <c r="G539" s="748" t="s">
        <v>432</v>
      </c>
      <c r="H539" s="749" t="s">
        <v>420</v>
      </c>
      <c r="I539" s="750" t="s">
        <v>420</v>
      </c>
    </row>
    <row r="540" spans="1:11">
      <c r="A540" s="774"/>
      <c r="B540" s="751"/>
      <c r="C540" s="753">
        <f>(B540/'Emission Factors'!$B$88)/1000</f>
        <v>0</v>
      </c>
      <c r="D540" s="753">
        <f>'Emission Factors'!$B$69*C540</f>
        <v>0</v>
      </c>
      <c r="E540" s="753">
        <f>'Emission Factors'!$C$69*$D540*0.001</f>
        <v>0</v>
      </c>
      <c r="F540" s="753">
        <f>'Emission Factors'!$D$69*$D540*0.001</f>
        <v>0</v>
      </c>
      <c r="G540" s="753">
        <f>'Emission Factors'!$E$69*$D540*0.001</f>
        <v>0</v>
      </c>
      <c r="H540" s="754">
        <f t="shared" ref="H540:H549" si="74">E540+F540+G540</f>
        <v>0</v>
      </c>
      <c r="I540" s="755">
        <f>D540*'Emission Factors'!$G$69*0.001</f>
        <v>0</v>
      </c>
    </row>
    <row r="541" spans="1:11">
      <c r="A541" s="774"/>
      <c r="B541" s="751"/>
      <c r="C541" s="753">
        <f>(B541/'Emission Factors'!$B$88)/1000</f>
        <v>0</v>
      </c>
      <c r="D541" s="753">
        <f>'Emission Factors'!$B$69*C541</f>
        <v>0</v>
      </c>
      <c r="E541" s="753">
        <f>'Emission Factors'!$C$69*$D541*0.001</f>
        <v>0</v>
      </c>
      <c r="F541" s="753">
        <f>'Emission Factors'!$D$69*$D541*0.001</f>
        <v>0</v>
      </c>
      <c r="G541" s="753">
        <f>'Emission Factors'!$E$69*$D541*0.001</f>
        <v>0</v>
      </c>
      <c r="H541" s="754">
        <f t="shared" si="74"/>
        <v>0</v>
      </c>
      <c r="I541" s="755">
        <f>D541*'Emission Factors'!$G$69*0.001</f>
        <v>0</v>
      </c>
    </row>
    <row r="542" spans="1:11">
      <c r="A542" s="774"/>
      <c r="B542" s="751"/>
      <c r="C542" s="753">
        <f>(B542/'Emission Factors'!$B$88)/1000</f>
        <v>0</v>
      </c>
      <c r="D542" s="753">
        <f>'Emission Factors'!$B$69*C542</f>
        <v>0</v>
      </c>
      <c r="E542" s="753">
        <f>'Emission Factors'!$C$69*$D542*0.001</f>
        <v>0</v>
      </c>
      <c r="F542" s="753">
        <f>'Emission Factors'!$D$69*$D542*0.001</f>
        <v>0</v>
      </c>
      <c r="G542" s="753">
        <f>'Emission Factors'!$E$69*$D542*0.001</f>
        <v>0</v>
      </c>
      <c r="H542" s="754">
        <f t="shared" si="74"/>
        <v>0</v>
      </c>
      <c r="I542" s="755">
        <f>D542*'Emission Factors'!$G$69*0.001</f>
        <v>0</v>
      </c>
    </row>
    <row r="543" spans="1:11">
      <c r="A543" s="774"/>
      <c r="B543" s="751"/>
      <c r="C543" s="753">
        <f>(B543/'Emission Factors'!$B$88)/1000</f>
        <v>0</v>
      </c>
      <c r="D543" s="753">
        <f>'Emission Factors'!$B$69*C543</f>
        <v>0</v>
      </c>
      <c r="E543" s="753">
        <f>'Emission Factors'!$C$69*$D543*0.001</f>
        <v>0</v>
      </c>
      <c r="F543" s="753">
        <f>'Emission Factors'!$D$69*$D543*0.001</f>
        <v>0</v>
      </c>
      <c r="G543" s="753">
        <f>'Emission Factors'!$E$69*$D543*0.001</f>
        <v>0</v>
      </c>
      <c r="H543" s="754">
        <f t="shared" si="74"/>
        <v>0</v>
      </c>
      <c r="I543" s="755">
        <f>D543*'Emission Factors'!$G$69*0.001</f>
        <v>0</v>
      </c>
    </row>
    <row r="544" spans="1:11">
      <c r="A544" s="774"/>
      <c r="B544" s="751"/>
      <c r="C544" s="753">
        <f>(B544/'Emission Factors'!$B$88)/1000</f>
        <v>0</v>
      </c>
      <c r="D544" s="753">
        <f>'Emission Factors'!$B$69*C544</f>
        <v>0</v>
      </c>
      <c r="E544" s="753">
        <f>'Emission Factors'!$C$69*$D544*0.001</f>
        <v>0</v>
      </c>
      <c r="F544" s="753">
        <f>'Emission Factors'!$D$69*$D544*0.001</f>
        <v>0</v>
      </c>
      <c r="G544" s="753">
        <f>'Emission Factors'!$E$69*$D544*0.001</f>
        <v>0</v>
      </c>
      <c r="H544" s="754">
        <f t="shared" si="74"/>
        <v>0</v>
      </c>
      <c r="I544" s="755">
        <f>D544*'Emission Factors'!$G$69*0.001</f>
        <v>0</v>
      </c>
    </row>
    <row r="545" spans="1:22">
      <c r="A545" s="774"/>
      <c r="B545" s="751"/>
      <c r="C545" s="753">
        <f>(B545/'Emission Factors'!$B$88)/1000</f>
        <v>0</v>
      </c>
      <c r="D545" s="753">
        <f>'Emission Factors'!$B$69*C545</f>
        <v>0</v>
      </c>
      <c r="E545" s="753">
        <f>'Emission Factors'!$C$69*$D545*0.001</f>
        <v>0</v>
      </c>
      <c r="F545" s="753">
        <f>'Emission Factors'!$D$69*$D545*0.001</f>
        <v>0</v>
      </c>
      <c r="G545" s="753">
        <f>'Emission Factors'!$E$69*$D545*0.001</f>
        <v>0</v>
      </c>
      <c r="H545" s="754">
        <f t="shared" si="74"/>
        <v>0</v>
      </c>
      <c r="I545" s="755">
        <f>D545*'Emission Factors'!$G$69*0.001</f>
        <v>0</v>
      </c>
    </row>
    <row r="546" spans="1:22">
      <c r="A546" s="774"/>
      <c r="B546" s="751"/>
      <c r="C546" s="753">
        <f>(B546/'Emission Factors'!$B$88)/1000</f>
        <v>0</v>
      </c>
      <c r="D546" s="753">
        <f>'Emission Factors'!$B$69*C546</f>
        <v>0</v>
      </c>
      <c r="E546" s="753">
        <f>'Emission Factors'!$C$69*$D546*0.001</f>
        <v>0</v>
      </c>
      <c r="F546" s="753">
        <f>'Emission Factors'!$D$69*$D546*0.001</f>
        <v>0</v>
      </c>
      <c r="G546" s="753">
        <f>'Emission Factors'!$E$69*$D546*0.001</f>
        <v>0</v>
      </c>
      <c r="H546" s="754">
        <f t="shared" si="74"/>
        <v>0</v>
      </c>
      <c r="I546" s="755">
        <f>D546*'Emission Factors'!$G$69*0.001</f>
        <v>0</v>
      </c>
    </row>
    <row r="547" spans="1:22">
      <c r="A547" s="774"/>
      <c r="B547" s="751"/>
      <c r="C547" s="753">
        <f>(B547/'Emission Factors'!$B$88)/1000</f>
        <v>0</v>
      </c>
      <c r="D547" s="753">
        <f>'Emission Factors'!$B$69*C547</f>
        <v>0</v>
      </c>
      <c r="E547" s="753">
        <f>'Emission Factors'!$C$69*$D547*0.001</f>
        <v>0</v>
      </c>
      <c r="F547" s="753">
        <f>'Emission Factors'!$D$69*$D547*0.001</f>
        <v>0</v>
      </c>
      <c r="G547" s="753">
        <f>'Emission Factors'!$E$69*$D547*0.001</f>
        <v>0</v>
      </c>
      <c r="H547" s="754">
        <f t="shared" si="74"/>
        <v>0</v>
      </c>
      <c r="I547" s="755">
        <f>D547*'Emission Factors'!$G$69*0.001</f>
        <v>0</v>
      </c>
    </row>
    <row r="548" spans="1:22">
      <c r="A548" s="774"/>
      <c r="B548" s="751"/>
      <c r="C548" s="753">
        <f>(B548/'Emission Factors'!$B$88)/1000</f>
        <v>0</v>
      </c>
      <c r="D548" s="753">
        <f>'Emission Factors'!$B$69*C548</f>
        <v>0</v>
      </c>
      <c r="E548" s="753">
        <f>'Emission Factors'!$C$69*$D548*0.001</f>
        <v>0</v>
      </c>
      <c r="F548" s="753">
        <f>'Emission Factors'!$D$69*$D548*0.001</f>
        <v>0</v>
      </c>
      <c r="G548" s="753">
        <f>'Emission Factors'!$E$69*$D548*0.001</f>
        <v>0</v>
      </c>
      <c r="H548" s="754">
        <f t="shared" si="74"/>
        <v>0</v>
      </c>
      <c r="I548" s="755">
        <f>D548*'Emission Factors'!$G$69*0.001</f>
        <v>0</v>
      </c>
    </row>
    <row r="549" spans="1:22" ht="16.5" thickBot="1">
      <c r="A549" s="774"/>
      <c r="B549" s="751"/>
      <c r="C549" s="753">
        <f>(B549/'Emission Factors'!$B$88)/1000</f>
        <v>0</v>
      </c>
      <c r="D549" s="753">
        <f>'Emission Factors'!$B$69*C549</f>
        <v>0</v>
      </c>
      <c r="E549" s="753">
        <f>'Emission Factors'!$C$69*$D549*0.001</f>
        <v>0</v>
      </c>
      <c r="F549" s="753">
        <f>'Emission Factors'!$D$69*$D549*0.001</f>
        <v>0</v>
      </c>
      <c r="G549" s="753">
        <f>'Emission Factors'!$E$69*$D549*0.001</f>
        <v>0</v>
      </c>
      <c r="H549" s="771">
        <f t="shared" si="74"/>
        <v>0</v>
      </c>
      <c r="I549" s="755">
        <f>D549*'Emission Factors'!$G$69*0.001</f>
        <v>0</v>
      </c>
    </row>
    <row r="550" spans="1:22" ht="16.5" thickBot="1">
      <c r="A550" s="769"/>
      <c r="G550" s="760" t="s">
        <v>434</v>
      </c>
      <c r="H550" s="761">
        <f>SUM(H540:H549)</f>
        <v>0</v>
      </c>
      <c r="I550" s="762">
        <f>SUM(I540:I549)</f>
        <v>0</v>
      </c>
    </row>
    <row r="552" spans="1:22" s="740" customFormat="1" ht="36">
      <c r="A552" s="2064" t="s">
        <v>454</v>
      </c>
      <c r="B552" s="2065"/>
      <c r="C552" s="2065"/>
      <c r="D552" s="2065"/>
      <c r="E552" s="2065"/>
      <c r="F552" s="2065"/>
      <c r="G552" s="2065"/>
      <c r="H552" s="2065"/>
      <c r="I552" s="2065"/>
      <c r="J552" s="694"/>
      <c r="K552" s="694"/>
      <c r="L552" s="694"/>
      <c r="M552" s="694"/>
      <c r="N552" s="742"/>
    </row>
    <row r="553" spans="1:22" s="743" customFormat="1" ht="36.6" customHeight="1" thickBot="1">
      <c r="A553" s="2004" t="s">
        <v>455</v>
      </c>
      <c r="B553" s="2005"/>
      <c r="C553" s="2006"/>
      <c r="D553" s="1991" t="s">
        <v>427</v>
      </c>
      <c r="E553" s="1992"/>
      <c r="F553" s="759"/>
      <c r="G553" s="742"/>
      <c r="H553" s="742"/>
      <c r="I553" s="742"/>
      <c r="J553" s="742"/>
      <c r="K553" s="742"/>
      <c r="L553" s="742"/>
      <c r="M553" s="742"/>
      <c r="N553" s="742"/>
      <c r="O553" s="767"/>
      <c r="Q553" s="767"/>
      <c r="R553" s="694"/>
      <c r="S553" s="740"/>
      <c r="T553" s="740"/>
      <c r="U553" s="740"/>
      <c r="V553" s="694"/>
    </row>
    <row r="554" spans="1:22" ht="36" customHeight="1">
      <c r="E554" s="744"/>
      <c r="F554" s="744"/>
      <c r="G554" s="744"/>
      <c r="H554" s="745" t="s">
        <v>62</v>
      </c>
      <c r="I554" s="746" t="s">
        <v>92</v>
      </c>
    </row>
    <row r="555" spans="1:22" ht="31.5">
      <c r="A555" s="773" t="s">
        <v>428</v>
      </c>
      <c r="B555" s="748" t="s">
        <v>446</v>
      </c>
      <c r="C555" s="748" t="s">
        <v>447</v>
      </c>
      <c r="D555" s="748" t="s">
        <v>448</v>
      </c>
      <c r="E555" s="748" t="s">
        <v>420</v>
      </c>
      <c r="F555" s="748" t="s">
        <v>431</v>
      </c>
      <c r="G555" s="748" t="s">
        <v>432</v>
      </c>
      <c r="H555" s="749" t="s">
        <v>420</v>
      </c>
      <c r="I555" s="750" t="s">
        <v>420</v>
      </c>
    </row>
    <row r="556" spans="1:22">
      <c r="A556" s="774"/>
      <c r="B556" s="752"/>
      <c r="C556" s="753">
        <f>B556/1000</f>
        <v>0</v>
      </c>
      <c r="D556" s="753">
        <f>'Emission Factors'!$B$65*$C556</f>
        <v>0</v>
      </c>
      <c r="E556" s="753">
        <f>'Emission Factors'!$C$65*$D556</f>
        <v>0</v>
      </c>
      <c r="F556" s="753">
        <f>'Emission Factors'!$D$65*$D556*0.001</f>
        <v>0</v>
      </c>
      <c r="G556" s="753">
        <f>'Emission Factors'!$E$65*$D556*0.001</f>
        <v>0</v>
      </c>
      <c r="H556" s="754">
        <f t="shared" ref="H556:H565" si="75">E556+F556+G556</f>
        <v>0</v>
      </c>
      <c r="I556" s="755">
        <f>D556*'Emission Factors'!$G$65*0.001</f>
        <v>0</v>
      </c>
    </row>
    <row r="557" spans="1:22">
      <c r="A557" s="774"/>
      <c r="B557" s="752"/>
      <c r="C557" s="753">
        <f t="shared" ref="C557:C565" si="76">B557/1000</f>
        <v>0</v>
      </c>
      <c r="D557" s="753">
        <f>'Emission Factors'!$B$65*C557</f>
        <v>0</v>
      </c>
      <c r="E557" s="753">
        <f>'Emission Factors'!$C$65*$D557</f>
        <v>0</v>
      </c>
      <c r="F557" s="753">
        <f>'Emission Factors'!$D$65*$D557*0.001</f>
        <v>0</v>
      </c>
      <c r="G557" s="753">
        <f>'Emission Factors'!$E$65*$D557*0.001</f>
        <v>0</v>
      </c>
      <c r="H557" s="754">
        <f t="shared" si="75"/>
        <v>0</v>
      </c>
      <c r="I557" s="755">
        <f>D557*'Emission Factors'!$G$65*0.001</f>
        <v>0</v>
      </c>
    </row>
    <row r="558" spans="1:22">
      <c r="A558" s="774"/>
      <c r="B558" s="752"/>
      <c r="C558" s="753">
        <f t="shared" si="76"/>
        <v>0</v>
      </c>
      <c r="D558" s="753">
        <f>'Emission Factors'!$B$65*C558</f>
        <v>0</v>
      </c>
      <c r="E558" s="753">
        <f>'Emission Factors'!$C$65*$D558</f>
        <v>0</v>
      </c>
      <c r="F558" s="753">
        <f>'Emission Factors'!$D$65*$D558*0.001</f>
        <v>0</v>
      </c>
      <c r="G558" s="753">
        <f>'Emission Factors'!$E$65*$D558*0.001</f>
        <v>0</v>
      </c>
      <c r="H558" s="754">
        <f t="shared" si="75"/>
        <v>0</v>
      </c>
      <c r="I558" s="755">
        <f>D558*'Emission Factors'!$G$65*0.001</f>
        <v>0</v>
      </c>
    </row>
    <row r="559" spans="1:22">
      <c r="A559" s="774"/>
      <c r="B559" s="752"/>
      <c r="C559" s="753">
        <f t="shared" si="76"/>
        <v>0</v>
      </c>
      <c r="D559" s="753">
        <f>'Emission Factors'!$B$65*C559</f>
        <v>0</v>
      </c>
      <c r="E559" s="753">
        <f>'Emission Factors'!$C$65*$D559</f>
        <v>0</v>
      </c>
      <c r="F559" s="753">
        <f>'Emission Factors'!$D$65*$D559*0.001</f>
        <v>0</v>
      </c>
      <c r="G559" s="753">
        <f>'Emission Factors'!$E$65*$D559*0.001</f>
        <v>0</v>
      </c>
      <c r="H559" s="754">
        <f t="shared" si="75"/>
        <v>0</v>
      </c>
      <c r="I559" s="755">
        <f>D559*'Emission Factors'!$G$65*0.001</f>
        <v>0</v>
      </c>
    </row>
    <row r="560" spans="1:22">
      <c r="A560" s="774"/>
      <c r="B560" s="752"/>
      <c r="C560" s="753">
        <f t="shared" si="76"/>
        <v>0</v>
      </c>
      <c r="D560" s="753">
        <f>'Emission Factors'!$B$65*C560</f>
        <v>0</v>
      </c>
      <c r="E560" s="753">
        <f>'Emission Factors'!$C$65*$D560</f>
        <v>0</v>
      </c>
      <c r="F560" s="753">
        <f>'Emission Factors'!$D$65*$D560*0.001</f>
        <v>0</v>
      </c>
      <c r="G560" s="753">
        <f>'Emission Factors'!$E$65*$D560*0.001</f>
        <v>0</v>
      </c>
      <c r="H560" s="754">
        <f t="shared" si="75"/>
        <v>0</v>
      </c>
      <c r="I560" s="755">
        <f>D560*'Emission Factors'!$G$65*0.001</f>
        <v>0</v>
      </c>
    </row>
    <row r="561" spans="1:18">
      <c r="A561" s="774"/>
      <c r="B561" s="752"/>
      <c r="C561" s="753">
        <f t="shared" si="76"/>
        <v>0</v>
      </c>
      <c r="D561" s="753">
        <f>'Emission Factors'!$B$65*C561</f>
        <v>0</v>
      </c>
      <c r="E561" s="753">
        <f>'Emission Factors'!$C$65*$D561</f>
        <v>0</v>
      </c>
      <c r="F561" s="753">
        <f>'Emission Factors'!$D$65*$D561*0.001</f>
        <v>0</v>
      </c>
      <c r="G561" s="753">
        <f>'Emission Factors'!$E$65*$D561*0.001</f>
        <v>0</v>
      </c>
      <c r="H561" s="754">
        <f t="shared" si="75"/>
        <v>0</v>
      </c>
      <c r="I561" s="755">
        <f>D561*'Emission Factors'!$G$65*0.001</f>
        <v>0</v>
      </c>
    </row>
    <row r="562" spans="1:18">
      <c r="A562" s="774"/>
      <c r="B562" s="752"/>
      <c r="C562" s="753">
        <f t="shared" si="76"/>
        <v>0</v>
      </c>
      <c r="D562" s="753">
        <f>'Emission Factors'!$B$65*C562</f>
        <v>0</v>
      </c>
      <c r="E562" s="753">
        <f>'Emission Factors'!$C$65*$D562</f>
        <v>0</v>
      </c>
      <c r="F562" s="753">
        <f>'Emission Factors'!$D$65*$D562*0.001</f>
        <v>0</v>
      </c>
      <c r="G562" s="753">
        <f>'Emission Factors'!$E$65*$D562*0.001</f>
        <v>0</v>
      </c>
      <c r="H562" s="754">
        <f t="shared" si="75"/>
        <v>0</v>
      </c>
      <c r="I562" s="755">
        <f>D562*'Emission Factors'!$G$65*0.001</f>
        <v>0</v>
      </c>
    </row>
    <row r="563" spans="1:18">
      <c r="A563" s="774"/>
      <c r="B563" s="752"/>
      <c r="C563" s="753">
        <f t="shared" si="76"/>
        <v>0</v>
      </c>
      <c r="D563" s="753">
        <f>'Emission Factors'!$B$65*C563</f>
        <v>0</v>
      </c>
      <c r="E563" s="753">
        <f>'Emission Factors'!$C$65*$D563</f>
        <v>0</v>
      </c>
      <c r="F563" s="753">
        <f>'Emission Factors'!$D$65*$D563*0.001</f>
        <v>0</v>
      </c>
      <c r="G563" s="753">
        <f>'Emission Factors'!$E$65*$D563*0.001</f>
        <v>0</v>
      </c>
      <c r="H563" s="754">
        <f t="shared" si="75"/>
        <v>0</v>
      </c>
      <c r="I563" s="755">
        <f>D563*'Emission Factors'!$G$65*0.001</f>
        <v>0</v>
      </c>
    </row>
    <row r="564" spans="1:18">
      <c r="A564" s="774"/>
      <c r="B564" s="752"/>
      <c r="C564" s="753">
        <f t="shared" si="76"/>
        <v>0</v>
      </c>
      <c r="D564" s="753">
        <f>'Emission Factors'!$B$65*C564</f>
        <v>0</v>
      </c>
      <c r="E564" s="753">
        <f>'Emission Factors'!$C$65*$D564</f>
        <v>0</v>
      </c>
      <c r="F564" s="753">
        <f>'Emission Factors'!$D$65*$D564*0.001</f>
        <v>0</v>
      </c>
      <c r="G564" s="753">
        <f>'Emission Factors'!$E$65*$D564*0.001</f>
        <v>0</v>
      </c>
      <c r="H564" s="754">
        <f t="shared" si="75"/>
        <v>0</v>
      </c>
      <c r="I564" s="755">
        <f>D564*'Emission Factors'!$G$65*0.001</f>
        <v>0</v>
      </c>
    </row>
    <row r="565" spans="1:18" ht="24" thickBot="1">
      <c r="A565" s="774"/>
      <c r="B565" s="752"/>
      <c r="C565" s="753">
        <f t="shared" si="76"/>
        <v>0</v>
      </c>
      <c r="D565" s="753">
        <f>'Emission Factors'!$B$65*C565</f>
        <v>0</v>
      </c>
      <c r="E565" s="753">
        <f>'Emission Factors'!$C$65*$D565</f>
        <v>0</v>
      </c>
      <c r="F565" s="753">
        <f>'Emission Factors'!$D$65*$D565*0.001</f>
        <v>0</v>
      </c>
      <c r="G565" s="753">
        <f>'Emission Factors'!$E$65*$D565*0.001</f>
        <v>0</v>
      </c>
      <c r="H565" s="771">
        <f t="shared" si="75"/>
        <v>0</v>
      </c>
      <c r="I565" s="755">
        <f>D565*'Emission Factors'!$G$65*0.001</f>
        <v>0</v>
      </c>
      <c r="K565" s="743"/>
    </row>
    <row r="566" spans="1:18" s="743" customFormat="1" ht="24" thickBot="1">
      <c r="A566" s="758" t="s">
        <v>435</v>
      </c>
      <c r="G566" s="760" t="s">
        <v>434</v>
      </c>
      <c r="H566" s="761">
        <f>SUM(H556:H565)</f>
        <v>0</v>
      </c>
      <c r="I566" s="762">
        <f>SUM(I556:I565)</f>
        <v>0</v>
      </c>
      <c r="N566" s="694"/>
    </row>
    <row r="567" spans="1:18" s="743" customFormat="1" ht="24" customHeight="1" thickBot="1">
      <c r="A567" s="2004" t="s">
        <v>455</v>
      </c>
      <c r="B567" s="2005"/>
      <c r="C567" s="2006"/>
      <c r="D567" s="1991" t="s">
        <v>427</v>
      </c>
      <c r="E567" s="1992"/>
      <c r="F567" s="759"/>
      <c r="G567" s="742"/>
      <c r="H567" s="742"/>
      <c r="N567" s="694"/>
      <c r="R567" s="694"/>
    </row>
    <row r="568" spans="1:18" ht="23.45" customHeight="1">
      <c r="E568" s="744"/>
      <c r="F568" s="744"/>
      <c r="G568" s="744"/>
      <c r="H568" s="745" t="s">
        <v>62</v>
      </c>
      <c r="I568" s="746" t="s">
        <v>92</v>
      </c>
      <c r="J568" s="743"/>
    </row>
    <row r="569" spans="1:18" ht="72" customHeight="1">
      <c r="A569" s="773" t="s">
        <v>428</v>
      </c>
      <c r="B569" s="798" t="s">
        <v>979</v>
      </c>
      <c r="C569" s="748" t="s">
        <v>447</v>
      </c>
      <c r="D569" s="748" t="s">
        <v>448</v>
      </c>
      <c r="E569" s="748" t="s">
        <v>420</v>
      </c>
      <c r="F569" s="748" t="s">
        <v>431</v>
      </c>
      <c r="G569" s="748" t="s">
        <v>432</v>
      </c>
      <c r="H569" s="749" t="s">
        <v>420</v>
      </c>
      <c r="I569" s="750" t="s">
        <v>420</v>
      </c>
      <c r="J569" s="743"/>
    </row>
    <row r="570" spans="1:18">
      <c r="A570" s="774"/>
      <c r="B570" s="751"/>
      <c r="C570" s="753">
        <f>(B570/'Emission Factors'!$B$87)/1000</f>
        <v>0</v>
      </c>
      <c r="D570" s="753">
        <f>C570*'Emission Factors'!$B$65</f>
        <v>0</v>
      </c>
      <c r="E570" s="753">
        <f>'Emission Factors'!$C$65*$D570</f>
        <v>0</v>
      </c>
      <c r="F570" s="753">
        <f>'Emission Factors'!$D$65*$D570*0.001</f>
        <v>0</v>
      </c>
      <c r="G570" s="753">
        <f>'Emission Factors'!$E$65*$D570*0.001</f>
        <v>0</v>
      </c>
      <c r="H570" s="754">
        <f t="shared" ref="H570:H579" si="77">E570+F570+G570</f>
        <v>0</v>
      </c>
      <c r="I570" s="755">
        <f>D570*'Emission Factors'!$G$65*0.001</f>
        <v>0</v>
      </c>
    </row>
    <row r="571" spans="1:18">
      <c r="A571" s="774"/>
      <c r="B571" s="751"/>
      <c r="C571" s="753">
        <f>(B571/'Emission Factors'!$B$87)/1000</f>
        <v>0</v>
      </c>
      <c r="D571" s="753">
        <f>C571*'Emission Factors'!$B$65</f>
        <v>0</v>
      </c>
      <c r="E571" s="753">
        <f>'Emission Factors'!$C$65*$D571</f>
        <v>0</v>
      </c>
      <c r="F571" s="753">
        <f>'Emission Factors'!$D$65*$D571*0.001</f>
        <v>0</v>
      </c>
      <c r="G571" s="753">
        <f>'Emission Factors'!$E$65*$D571*0.001</f>
        <v>0</v>
      </c>
      <c r="H571" s="754">
        <f t="shared" si="77"/>
        <v>0</v>
      </c>
      <c r="I571" s="755">
        <f>D571*'Emission Factors'!$G$65*0.001</f>
        <v>0</v>
      </c>
    </row>
    <row r="572" spans="1:18">
      <c r="A572" s="774"/>
      <c r="B572" s="751"/>
      <c r="C572" s="753">
        <f>(B572/'Emission Factors'!$B$87)/1000</f>
        <v>0</v>
      </c>
      <c r="D572" s="753">
        <f>C572*'Emission Factors'!$B$65</f>
        <v>0</v>
      </c>
      <c r="E572" s="753">
        <f>'Emission Factors'!$C$65*$D572</f>
        <v>0</v>
      </c>
      <c r="F572" s="753">
        <f>'Emission Factors'!$D$65*$D572*0.001</f>
        <v>0</v>
      </c>
      <c r="G572" s="753">
        <f>'Emission Factors'!$E$65*$D572*0.001</f>
        <v>0</v>
      </c>
      <c r="H572" s="754">
        <f t="shared" si="77"/>
        <v>0</v>
      </c>
      <c r="I572" s="755">
        <f>D572*'Emission Factors'!$G$65*0.001</f>
        <v>0</v>
      </c>
    </row>
    <row r="573" spans="1:18">
      <c r="A573" s="774"/>
      <c r="B573" s="751"/>
      <c r="C573" s="753">
        <f>(B573/'Emission Factors'!$B$87)/1000</f>
        <v>0</v>
      </c>
      <c r="D573" s="753">
        <f>C573*'Emission Factors'!$B$65</f>
        <v>0</v>
      </c>
      <c r="E573" s="753">
        <f>'Emission Factors'!$C$65*$D573</f>
        <v>0</v>
      </c>
      <c r="F573" s="753">
        <f>'Emission Factors'!$D$65*$D573*0.001</f>
        <v>0</v>
      </c>
      <c r="G573" s="753">
        <f>'Emission Factors'!$E$65*$D573*0.001</f>
        <v>0</v>
      </c>
      <c r="H573" s="754">
        <f t="shared" si="77"/>
        <v>0</v>
      </c>
      <c r="I573" s="755">
        <f>D573*'Emission Factors'!$G$65*0.001</f>
        <v>0</v>
      </c>
    </row>
    <row r="574" spans="1:18">
      <c r="A574" s="774"/>
      <c r="B574" s="751"/>
      <c r="C574" s="753">
        <f>(B574/'Emission Factors'!$B$87)/1000</f>
        <v>0</v>
      </c>
      <c r="D574" s="753">
        <f>C574*'Emission Factors'!$B$65</f>
        <v>0</v>
      </c>
      <c r="E574" s="753">
        <f>'Emission Factors'!$C$65*$D574</f>
        <v>0</v>
      </c>
      <c r="F574" s="753">
        <f>'Emission Factors'!$D$65*$D574*0.001</f>
        <v>0</v>
      </c>
      <c r="G574" s="753">
        <f>'Emission Factors'!$E$65*$D574*0.001</f>
        <v>0</v>
      </c>
      <c r="H574" s="754">
        <f t="shared" si="77"/>
        <v>0</v>
      </c>
      <c r="I574" s="755">
        <f>D574*'Emission Factors'!$G$65*0.001</f>
        <v>0</v>
      </c>
    </row>
    <row r="575" spans="1:18">
      <c r="A575" s="774"/>
      <c r="B575" s="751"/>
      <c r="C575" s="753">
        <f>(B575/'Emission Factors'!$B$87)/1000</f>
        <v>0</v>
      </c>
      <c r="D575" s="753">
        <f>C575*'Emission Factors'!$B$65</f>
        <v>0</v>
      </c>
      <c r="E575" s="753">
        <f>'Emission Factors'!$C$65*$D575</f>
        <v>0</v>
      </c>
      <c r="F575" s="753">
        <f>'Emission Factors'!$D$65*$D575*0.001</f>
        <v>0</v>
      </c>
      <c r="G575" s="753">
        <f>'Emission Factors'!$E$65*$D575*0.001</f>
        <v>0</v>
      </c>
      <c r="H575" s="754">
        <f t="shared" si="77"/>
        <v>0</v>
      </c>
      <c r="I575" s="755">
        <f>D575*'Emission Factors'!$G$65*0.001</f>
        <v>0</v>
      </c>
    </row>
    <row r="576" spans="1:18">
      <c r="A576" s="774"/>
      <c r="B576" s="751"/>
      <c r="C576" s="753">
        <f>(B576/'Emission Factors'!$B$87)/1000</f>
        <v>0</v>
      </c>
      <c r="D576" s="753">
        <f>C576*'Emission Factors'!$B$65</f>
        <v>0</v>
      </c>
      <c r="E576" s="753">
        <f>'Emission Factors'!$C$65*$D576</f>
        <v>0</v>
      </c>
      <c r="F576" s="753">
        <f>'Emission Factors'!$D$65*$D576*0.001</f>
        <v>0</v>
      </c>
      <c r="G576" s="753">
        <f>'Emission Factors'!$E$65*$D576*0.001</f>
        <v>0</v>
      </c>
      <c r="H576" s="754">
        <f t="shared" si="77"/>
        <v>0</v>
      </c>
      <c r="I576" s="755">
        <f>D576*'Emission Factors'!$G$65*0.001</f>
        <v>0</v>
      </c>
    </row>
    <row r="577" spans="1:36">
      <c r="A577" s="774"/>
      <c r="B577" s="751"/>
      <c r="C577" s="753">
        <f>(B577/'Emission Factors'!$B$87)/1000</f>
        <v>0</v>
      </c>
      <c r="D577" s="753">
        <f>C577*'Emission Factors'!$B$65</f>
        <v>0</v>
      </c>
      <c r="E577" s="753">
        <f>'Emission Factors'!$C$65*$D577</f>
        <v>0</v>
      </c>
      <c r="F577" s="753">
        <f>'Emission Factors'!$D$65*$D577*0.001</f>
        <v>0</v>
      </c>
      <c r="G577" s="753">
        <f>'Emission Factors'!$E$65*$D577*0.001</f>
        <v>0</v>
      </c>
      <c r="H577" s="754">
        <f t="shared" si="77"/>
        <v>0</v>
      </c>
      <c r="I577" s="755">
        <f>D577*'Emission Factors'!$G$65*0.001</f>
        <v>0</v>
      </c>
    </row>
    <row r="578" spans="1:36">
      <c r="A578" s="774"/>
      <c r="B578" s="751"/>
      <c r="C578" s="753">
        <f>(B578/'Emission Factors'!$B$87)/1000</f>
        <v>0</v>
      </c>
      <c r="D578" s="753">
        <f>C578*'Emission Factors'!$B$65</f>
        <v>0</v>
      </c>
      <c r="E578" s="753">
        <f>'Emission Factors'!$C$65*$D578</f>
        <v>0</v>
      </c>
      <c r="F578" s="753">
        <f>'Emission Factors'!$D$65*$D578*0.001</f>
        <v>0</v>
      </c>
      <c r="G578" s="753">
        <f>'Emission Factors'!$E$65*$D578*0.001</f>
        <v>0</v>
      </c>
      <c r="H578" s="754">
        <f t="shared" si="77"/>
        <v>0</v>
      </c>
      <c r="I578" s="755">
        <f>D578*'Emission Factors'!$G$65*0.001</f>
        <v>0</v>
      </c>
    </row>
    <row r="579" spans="1:36" ht="16.5" thickBot="1">
      <c r="A579" s="774"/>
      <c r="B579" s="751"/>
      <c r="C579" s="753">
        <f>(B579/'Emission Factors'!$B$87)/1000</f>
        <v>0</v>
      </c>
      <c r="D579" s="753">
        <f>C579*'Emission Factors'!$B$65</f>
        <v>0</v>
      </c>
      <c r="E579" s="753">
        <f>'Emission Factors'!$C$65*$D579</f>
        <v>0</v>
      </c>
      <c r="F579" s="753">
        <f>'Emission Factors'!$D$65*$D579*0.001</f>
        <v>0</v>
      </c>
      <c r="G579" s="753">
        <f>'Emission Factors'!$E$65*$D579*0.001</f>
        <v>0</v>
      </c>
      <c r="H579" s="771">
        <f t="shared" si="77"/>
        <v>0</v>
      </c>
      <c r="I579" s="755">
        <f>D579*'Emission Factors'!$G$65*0.001</f>
        <v>0</v>
      </c>
    </row>
    <row r="580" spans="1:36" ht="16.5" thickBot="1">
      <c r="A580" s="769" t="s">
        <v>980</v>
      </c>
      <c r="G580" s="760" t="s">
        <v>434</v>
      </c>
      <c r="H580" s="761">
        <f>SUM(H570:H579)</f>
        <v>0</v>
      </c>
      <c r="I580" s="762">
        <f>SUM(I570:I579)</f>
        <v>0</v>
      </c>
    </row>
    <row r="581" spans="1:36" s="765" customFormat="1" ht="15"/>
    <row r="582" spans="1:36" ht="46.5">
      <c r="A582" s="2069" t="s">
        <v>981</v>
      </c>
      <c r="B582" s="2070"/>
      <c r="C582" s="2070"/>
      <c r="D582" s="2070"/>
      <c r="E582" s="2070"/>
      <c r="F582" s="2070"/>
      <c r="G582" s="2070"/>
      <c r="H582" s="2070"/>
      <c r="I582" s="2070"/>
      <c r="J582" s="2070"/>
      <c r="K582" s="2070"/>
      <c r="L582" s="2070"/>
      <c r="M582" s="2070"/>
      <c r="N582" s="2070"/>
      <c r="O582" s="2070"/>
      <c r="P582" s="2070"/>
      <c r="Q582" s="2070"/>
      <c r="R582" s="2070"/>
      <c r="S582" s="2070"/>
      <c r="T582" s="2070"/>
      <c r="U582" s="2070"/>
      <c r="V582" s="2070"/>
      <c r="W582" s="2070"/>
      <c r="X582" s="2070"/>
      <c r="Y582" s="2070"/>
      <c r="Z582" s="2070"/>
      <c r="AA582" s="2070"/>
      <c r="AB582" s="2070"/>
      <c r="AC582" s="2070"/>
      <c r="AD582" s="2070"/>
      <c r="AE582" s="2070"/>
      <c r="AF582" s="2070"/>
      <c r="AG582" s="2070"/>
      <c r="AH582" s="2070"/>
      <c r="AI582" s="2070"/>
      <c r="AJ582" s="2071"/>
    </row>
    <row r="584" spans="1:36" ht="18.75">
      <c r="B584" s="692" t="s">
        <v>468</v>
      </c>
      <c r="C584" s="692" t="s">
        <v>469</v>
      </c>
      <c r="M584" s="712"/>
      <c r="N584" s="712"/>
      <c r="O584" s="712"/>
      <c r="P584" s="674"/>
      <c r="Q584" s="712"/>
      <c r="R584" s="674"/>
    </row>
    <row r="585" spans="1:36" ht="37.5">
      <c r="A585" s="738"/>
      <c r="B585" s="692" t="s">
        <v>553</v>
      </c>
      <c r="C585" s="692" t="s">
        <v>553</v>
      </c>
      <c r="D585" s="2072" t="s">
        <v>982</v>
      </c>
      <c r="E585" s="2073"/>
      <c r="F585" s="2073"/>
      <c r="G585" s="2073"/>
    </row>
    <row r="586" spans="1:36" ht="18.75">
      <c r="A586" s="692" t="s">
        <v>72</v>
      </c>
      <c r="B586" s="739">
        <f>SUM(H607,I621,H652)</f>
        <v>0</v>
      </c>
      <c r="C586" s="739">
        <f>SUM(I607,J621,I652)</f>
        <v>0</v>
      </c>
      <c r="D586" s="2072"/>
      <c r="E586" s="2073"/>
      <c r="F586" s="2073"/>
      <c r="G586" s="2073"/>
    </row>
    <row r="587" spans="1:36" ht="18.75">
      <c r="A587" s="692" t="s">
        <v>470</v>
      </c>
      <c r="B587" s="739">
        <f>SUM(H668,H682,H698,H712)</f>
        <v>0</v>
      </c>
      <c r="C587" s="739">
        <f>SUM(I668,I682,I698,I712)</f>
        <v>0</v>
      </c>
      <c r="D587" s="2072"/>
      <c r="E587" s="2073"/>
      <c r="F587" s="2073"/>
      <c r="G587" s="2073"/>
    </row>
    <row r="588" spans="1:36" ht="18.75">
      <c r="A588" s="692" t="s">
        <v>471</v>
      </c>
      <c r="B588" s="739">
        <f>SUM(H729,H743)</f>
        <v>0</v>
      </c>
      <c r="C588" s="739">
        <f>SUM(I729,I743)</f>
        <v>0</v>
      </c>
    </row>
    <row r="589" spans="1:36" ht="19.5" thickBot="1">
      <c r="A589" s="1049" t="s">
        <v>68</v>
      </c>
      <c r="B589" s="1050">
        <f>SUM(H759,H774)</f>
        <v>0</v>
      </c>
      <c r="C589" s="1050">
        <f>SUM(I759,I774)</f>
        <v>0</v>
      </c>
    </row>
    <row r="590" spans="1:36" ht="19.5" thickBot="1">
      <c r="A590" s="1051" t="s">
        <v>424</v>
      </c>
      <c r="B590" s="795">
        <f>SUM(B586:B589)</f>
        <v>0</v>
      </c>
      <c r="C590" s="787">
        <f>SUM(C586:C589)</f>
        <v>0</v>
      </c>
    </row>
    <row r="591" spans="1:36">
      <c r="B591" s="732"/>
      <c r="M591" s="712"/>
      <c r="N591" s="712"/>
      <c r="O591" s="712"/>
      <c r="P591" s="674"/>
      <c r="Q591" s="712"/>
      <c r="R591" s="674"/>
    </row>
    <row r="592" spans="1:36">
      <c r="B592" s="732"/>
      <c r="M592" s="712"/>
      <c r="N592" s="712"/>
      <c r="O592" s="712"/>
      <c r="P592" s="674"/>
      <c r="Q592" s="712"/>
      <c r="R592" s="674"/>
    </row>
    <row r="593" spans="1:15" s="740" customFormat="1" ht="36">
      <c r="A593" s="2064" t="s">
        <v>473</v>
      </c>
      <c r="B593" s="2065"/>
      <c r="C593" s="2065"/>
      <c r="D593" s="2065"/>
      <c r="E593" s="2065"/>
      <c r="F593" s="2065"/>
      <c r="G593" s="2065"/>
      <c r="H593" s="2065"/>
      <c r="I593" s="2065"/>
      <c r="J593" s="806"/>
    </row>
    <row r="594" spans="1:15" s="743" customFormat="1" ht="25.5" customHeight="1" thickBot="1">
      <c r="A594" s="2004" t="s">
        <v>457</v>
      </c>
      <c r="B594" s="2005"/>
      <c r="C594" s="2006"/>
      <c r="D594" s="2007" t="s">
        <v>427</v>
      </c>
      <c r="E594" s="2008"/>
      <c r="F594" s="741"/>
      <c r="G594" s="742"/>
      <c r="H594" s="742"/>
      <c r="I594" s="742"/>
      <c r="J594" s="742"/>
      <c r="K594" s="742"/>
      <c r="L594" s="742"/>
      <c r="M594" s="742"/>
    </row>
    <row r="595" spans="1:15" ht="18.75">
      <c r="E595" s="744"/>
      <c r="F595" s="744"/>
      <c r="G595" s="744"/>
      <c r="H595" s="745" t="s">
        <v>62</v>
      </c>
      <c r="I595" s="746" t="s">
        <v>92</v>
      </c>
    </row>
    <row r="596" spans="1:15" ht="110.45" customHeight="1">
      <c r="A596" s="747" t="s">
        <v>428</v>
      </c>
      <c r="B596" s="747" t="s">
        <v>458</v>
      </c>
      <c r="C596" s="748" t="s">
        <v>474</v>
      </c>
      <c r="D596" s="748" t="s">
        <v>448</v>
      </c>
      <c r="E596" s="748" t="s">
        <v>420</v>
      </c>
      <c r="F596" s="748" t="s">
        <v>431</v>
      </c>
      <c r="G596" s="748" t="s">
        <v>432</v>
      </c>
      <c r="H596" s="749" t="s">
        <v>420</v>
      </c>
      <c r="I596" s="750" t="s">
        <v>420</v>
      </c>
    </row>
    <row r="597" spans="1:15">
      <c r="A597" s="751"/>
      <c r="B597" s="752"/>
      <c r="C597" s="753">
        <f t="shared" ref="C597:C605" si="78">B597/1000</f>
        <v>0</v>
      </c>
      <c r="D597" s="753">
        <f>'Emission Factors'!$B$60*C597</f>
        <v>0</v>
      </c>
      <c r="E597" s="753">
        <f>D597*'Emission Factors'!$C$60*0.001</f>
        <v>0</v>
      </c>
      <c r="F597" s="753">
        <f>D597*'Emission Factors'!$D$60*0.001</f>
        <v>0</v>
      </c>
      <c r="G597" s="753">
        <f>D597*'Emission Factors'!$E$60*0.001</f>
        <v>0</v>
      </c>
      <c r="H597" s="754">
        <f>E597+F597+G597</f>
        <v>0</v>
      </c>
      <c r="I597" s="755">
        <f>D597*'Emission Factors'!$G$60*0.001</f>
        <v>0</v>
      </c>
      <c r="K597" s="710"/>
    </row>
    <row r="598" spans="1:15">
      <c r="A598" s="751"/>
      <c r="B598" s="752"/>
      <c r="C598" s="753">
        <f t="shared" si="78"/>
        <v>0</v>
      </c>
      <c r="D598" s="753">
        <f>'Emission Factors'!$B$60*C598</f>
        <v>0</v>
      </c>
      <c r="E598" s="753">
        <f>D598*'Emission Factors'!$C$60*0.001</f>
        <v>0</v>
      </c>
      <c r="F598" s="753">
        <f>D598*'Emission Factors'!$D$60*0.001</f>
        <v>0</v>
      </c>
      <c r="G598" s="753">
        <f>D598*'Emission Factors'!$E$60*0.001</f>
        <v>0</v>
      </c>
      <c r="H598" s="754">
        <f t="shared" ref="H598:H606" si="79">E598+F598+G598</f>
        <v>0</v>
      </c>
      <c r="I598" s="755">
        <f>D598*'Emission Factors'!$G$60*0.001</f>
        <v>0</v>
      </c>
    </row>
    <row r="599" spans="1:15">
      <c r="A599" s="751"/>
      <c r="B599" s="752"/>
      <c r="C599" s="753">
        <f t="shared" si="78"/>
        <v>0</v>
      </c>
      <c r="D599" s="753">
        <f>'Emission Factors'!$B$60*C599</f>
        <v>0</v>
      </c>
      <c r="E599" s="753">
        <f>D599*'Emission Factors'!$C$60*0.001</f>
        <v>0</v>
      </c>
      <c r="F599" s="753">
        <f>D599*'Emission Factors'!$D$60*0.001</f>
        <v>0</v>
      </c>
      <c r="G599" s="753">
        <f>D599*'Emission Factors'!$E$60*0.001</f>
        <v>0</v>
      </c>
      <c r="H599" s="754">
        <f t="shared" si="79"/>
        <v>0</v>
      </c>
      <c r="I599" s="755">
        <f>D599*'Emission Factors'!$G$60*0.001</f>
        <v>0</v>
      </c>
    </row>
    <row r="600" spans="1:15">
      <c r="A600" s="751"/>
      <c r="B600" s="752"/>
      <c r="C600" s="753">
        <f t="shared" si="78"/>
        <v>0</v>
      </c>
      <c r="D600" s="753">
        <f>'Emission Factors'!$B$60*C600</f>
        <v>0</v>
      </c>
      <c r="E600" s="753">
        <f>D600*'Emission Factors'!$C$60*0.001</f>
        <v>0</v>
      </c>
      <c r="F600" s="753">
        <f>D600*'Emission Factors'!$D$60*0.001</f>
        <v>0</v>
      </c>
      <c r="G600" s="753">
        <f>D600*'Emission Factors'!$E$60*0.001</f>
        <v>0</v>
      </c>
      <c r="H600" s="754">
        <f t="shared" si="79"/>
        <v>0</v>
      </c>
      <c r="I600" s="755">
        <f>D600*'Emission Factors'!$G$60*0.001</f>
        <v>0</v>
      </c>
    </row>
    <row r="601" spans="1:15">
      <c r="A601" s="751"/>
      <c r="B601" s="752"/>
      <c r="C601" s="753">
        <f t="shared" si="78"/>
        <v>0</v>
      </c>
      <c r="D601" s="753">
        <f>'Emission Factors'!$B$60*C601</f>
        <v>0</v>
      </c>
      <c r="E601" s="753">
        <f>D601*'Emission Factors'!$C$60*0.001</f>
        <v>0</v>
      </c>
      <c r="F601" s="753">
        <f>D601*'Emission Factors'!$D$60*0.001</f>
        <v>0</v>
      </c>
      <c r="G601" s="753">
        <f>D601*'Emission Factors'!$E$60*0.001</f>
        <v>0</v>
      </c>
      <c r="H601" s="754">
        <f t="shared" si="79"/>
        <v>0</v>
      </c>
      <c r="I601" s="755">
        <f>D601*'Emission Factors'!$G$60*0.001</f>
        <v>0</v>
      </c>
    </row>
    <row r="602" spans="1:15">
      <c r="A602" s="751"/>
      <c r="B602" s="752"/>
      <c r="C602" s="753">
        <f t="shared" si="78"/>
        <v>0</v>
      </c>
      <c r="D602" s="753">
        <f>'Emission Factors'!$B$60*C602</f>
        <v>0</v>
      </c>
      <c r="E602" s="753">
        <f>D602*'Emission Factors'!$C$60*0.001</f>
        <v>0</v>
      </c>
      <c r="F602" s="753">
        <f>D602*'Emission Factors'!$D$60*0.001</f>
        <v>0</v>
      </c>
      <c r="G602" s="753">
        <f>D602*'Emission Factors'!$E$60*0.001</f>
        <v>0</v>
      </c>
      <c r="H602" s="754">
        <f t="shared" si="79"/>
        <v>0</v>
      </c>
      <c r="I602" s="755">
        <f>D602*'Emission Factors'!$G$60*0.001</f>
        <v>0</v>
      </c>
    </row>
    <row r="603" spans="1:15">
      <c r="A603" s="751"/>
      <c r="B603" s="752"/>
      <c r="C603" s="753">
        <f t="shared" si="78"/>
        <v>0</v>
      </c>
      <c r="D603" s="753">
        <f>'Emission Factors'!$B$60*C603</f>
        <v>0</v>
      </c>
      <c r="E603" s="753">
        <f>D603*'Emission Factors'!$C$60*0.001</f>
        <v>0</v>
      </c>
      <c r="F603" s="753">
        <f>D603*'Emission Factors'!$D$60*0.001</f>
        <v>0</v>
      </c>
      <c r="G603" s="753">
        <f>D603*'Emission Factors'!$E$60*0.001</f>
        <v>0</v>
      </c>
      <c r="H603" s="754">
        <f t="shared" si="79"/>
        <v>0</v>
      </c>
      <c r="I603" s="755">
        <f>D603*'Emission Factors'!$G$60*0.001</f>
        <v>0</v>
      </c>
    </row>
    <row r="604" spans="1:15">
      <c r="A604" s="751"/>
      <c r="B604" s="752"/>
      <c r="C604" s="753">
        <f t="shared" si="78"/>
        <v>0</v>
      </c>
      <c r="D604" s="753">
        <f>'Emission Factors'!$B$60*C604</f>
        <v>0</v>
      </c>
      <c r="E604" s="753">
        <f>D604*'Emission Factors'!$C$60*0.001</f>
        <v>0</v>
      </c>
      <c r="F604" s="753">
        <f>D604*'Emission Factors'!$D$60*0.001</f>
        <v>0</v>
      </c>
      <c r="G604" s="753">
        <f>D604*'Emission Factors'!$E$60*0.001</f>
        <v>0</v>
      </c>
      <c r="H604" s="754">
        <f t="shared" si="79"/>
        <v>0</v>
      </c>
      <c r="I604" s="755">
        <f>D604*'Emission Factors'!$G$60*0.001</f>
        <v>0</v>
      </c>
    </row>
    <row r="605" spans="1:15">
      <c r="A605" s="751"/>
      <c r="B605" s="752"/>
      <c r="C605" s="753">
        <f t="shared" si="78"/>
        <v>0</v>
      </c>
      <c r="D605" s="753">
        <f>'Emission Factors'!$B$60*C605</f>
        <v>0</v>
      </c>
      <c r="E605" s="753">
        <f>D605*'Emission Factors'!$C$60*0.001</f>
        <v>0</v>
      </c>
      <c r="F605" s="753">
        <f>D605*'Emission Factors'!$D$60*0.001</f>
        <v>0</v>
      </c>
      <c r="G605" s="753">
        <f>D605*'Emission Factors'!$E$60*0.001</f>
        <v>0</v>
      </c>
      <c r="H605" s="754">
        <f t="shared" si="79"/>
        <v>0</v>
      </c>
      <c r="I605" s="755">
        <f>D605*'Emission Factors'!$G$60*0.001</f>
        <v>0</v>
      </c>
    </row>
    <row r="606" spans="1:15" ht="16.5" thickBot="1">
      <c r="A606" s="751"/>
      <c r="B606" s="752"/>
      <c r="C606" s="753">
        <f>B606/1000</f>
        <v>0</v>
      </c>
      <c r="D606" s="753">
        <f>'Emission Factors'!$B$60*C606</f>
        <v>0</v>
      </c>
      <c r="E606" s="753">
        <f>D606*'Emission Factors'!$C$60*0.001</f>
        <v>0</v>
      </c>
      <c r="F606" s="753">
        <f>D606*'Emission Factors'!$D$60*0.001</f>
        <v>0</v>
      </c>
      <c r="G606" s="753">
        <f>D606*'Emission Factors'!$E$60*0.001</f>
        <v>0</v>
      </c>
      <c r="H606" s="756">
        <f t="shared" si="79"/>
        <v>0</v>
      </c>
      <c r="I606" s="755">
        <f>D606*'Emission Factors'!$G$60*0.001</f>
        <v>0</v>
      </c>
    </row>
    <row r="607" spans="1:15" s="743" customFormat="1" ht="27" customHeight="1" thickBot="1">
      <c r="A607" s="758" t="s">
        <v>435</v>
      </c>
      <c r="B607" s="759"/>
      <c r="C607" s="759"/>
      <c r="D607" s="759"/>
      <c r="E607" s="742"/>
      <c r="F607" s="759"/>
      <c r="G607" s="760" t="s">
        <v>434</v>
      </c>
      <c r="H607" s="761">
        <f>SUM(H597:H606)</f>
        <v>0</v>
      </c>
      <c r="I607" s="762">
        <f>SUM(I597:I606)</f>
        <v>0</v>
      </c>
      <c r="J607" s="742"/>
      <c r="K607" s="742"/>
      <c r="L607" s="742"/>
      <c r="M607" s="742"/>
      <c r="N607" s="742"/>
      <c r="O607" s="759"/>
    </row>
    <row r="608" spans="1:15" s="743" customFormat="1" ht="22.5" customHeight="1" thickBot="1">
      <c r="A608" s="2004" t="s">
        <v>466</v>
      </c>
      <c r="B608" s="2005"/>
      <c r="C608" s="2006"/>
      <c r="D608" s="2007" t="s">
        <v>427</v>
      </c>
      <c r="E608" s="2008"/>
      <c r="F608" s="741"/>
      <c r="G608" s="742"/>
      <c r="H608" s="742"/>
      <c r="I608" s="742"/>
      <c r="J608" s="742"/>
      <c r="K608" s="742"/>
      <c r="L608" s="742"/>
      <c r="M608" s="742"/>
    </row>
    <row r="609" spans="1:13" ht="37.5">
      <c r="F609" s="744"/>
      <c r="G609" s="744"/>
      <c r="H609" s="744"/>
      <c r="I609" s="745" t="s">
        <v>62</v>
      </c>
      <c r="J609" s="746" t="s">
        <v>92</v>
      </c>
    </row>
    <row r="610" spans="1:13" ht="110.45" customHeight="1">
      <c r="A610" s="747" t="s">
        <v>428</v>
      </c>
      <c r="B610" s="747" t="s">
        <v>979</v>
      </c>
      <c r="C610" s="747" t="s">
        <v>476</v>
      </c>
      <c r="D610" s="748" t="s">
        <v>474</v>
      </c>
      <c r="E610" s="748" t="s">
        <v>448</v>
      </c>
      <c r="F610" s="748" t="s">
        <v>420</v>
      </c>
      <c r="G610" s="748" t="s">
        <v>431</v>
      </c>
      <c r="H610" s="748" t="s">
        <v>432</v>
      </c>
      <c r="I610" s="749" t="s">
        <v>420</v>
      </c>
      <c r="J610" s="750" t="s">
        <v>420</v>
      </c>
    </row>
    <row r="611" spans="1:13">
      <c r="A611" s="751"/>
      <c r="B611" s="763"/>
      <c r="C611" s="764">
        <f>B611/'Emission Factors'!$B$86</f>
        <v>0</v>
      </c>
      <c r="D611" s="753">
        <f>C611/1000</f>
        <v>0</v>
      </c>
      <c r="E611" s="753">
        <f>'Emission Factors'!$B$60*D611</f>
        <v>0</v>
      </c>
      <c r="F611" s="753">
        <f>E611*'Emission Factors'!$C$60*0.001</f>
        <v>0</v>
      </c>
      <c r="G611" s="753">
        <f>E611*'Emission Factors'!$D$60*0.001</f>
        <v>0</v>
      </c>
      <c r="H611" s="753">
        <f>E611*'Emission Factors'!$E$60*0.001</f>
        <v>0</v>
      </c>
      <c r="I611" s="754">
        <f>F611+G611+H611</f>
        <v>0</v>
      </c>
      <c r="J611" s="755">
        <f>E611*'Emission Factors'!$G$60*0.001</f>
        <v>0</v>
      </c>
    </row>
    <row r="612" spans="1:13">
      <c r="A612" s="751"/>
      <c r="B612" s="763"/>
      <c r="C612" s="764">
        <f>B612/'Emission Factors'!$B$86</f>
        <v>0</v>
      </c>
      <c r="D612" s="753">
        <f t="shared" ref="D612:D619" si="80">C612/1000</f>
        <v>0</v>
      </c>
      <c r="E612" s="753">
        <f>'Emission Factors'!$B$60*D612</f>
        <v>0</v>
      </c>
      <c r="F612" s="753">
        <f>E612*'Emission Factors'!$C$60*0.001</f>
        <v>0</v>
      </c>
      <c r="G612" s="753">
        <f>E612*'Emission Factors'!$D$60*0.001</f>
        <v>0</v>
      </c>
      <c r="H612" s="753">
        <f>E612*'Emission Factors'!$E$60*0.001</f>
        <v>0</v>
      </c>
      <c r="I612" s="754">
        <f t="shared" ref="I612:I620" si="81">F612+G612+H612</f>
        <v>0</v>
      </c>
      <c r="J612" s="755">
        <f>E612*'Emission Factors'!$G$60*0.001</f>
        <v>0</v>
      </c>
    </row>
    <row r="613" spans="1:13" ht="15" customHeight="1">
      <c r="A613" s="751"/>
      <c r="B613" s="763"/>
      <c r="C613" s="764">
        <f>B613/'Emission Factors'!$B$86</f>
        <v>0</v>
      </c>
      <c r="D613" s="753">
        <f t="shared" si="80"/>
        <v>0</v>
      </c>
      <c r="E613" s="753">
        <f>'Emission Factors'!$B$60*D613</f>
        <v>0</v>
      </c>
      <c r="F613" s="753">
        <f>E613*'Emission Factors'!$C$60*0.001</f>
        <v>0</v>
      </c>
      <c r="G613" s="753">
        <f>E613*'Emission Factors'!$D$60*0.001</f>
        <v>0</v>
      </c>
      <c r="H613" s="753">
        <f>E613*'Emission Factors'!$E$60*0.001</f>
        <v>0</v>
      </c>
      <c r="I613" s="754">
        <f t="shared" si="81"/>
        <v>0</v>
      </c>
      <c r="J613" s="755">
        <f>E613*'Emission Factors'!$G$60*0.001</f>
        <v>0</v>
      </c>
    </row>
    <row r="614" spans="1:13" ht="15" customHeight="1">
      <c r="A614" s="751"/>
      <c r="B614" s="763"/>
      <c r="C614" s="764">
        <f>B614/'Emission Factors'!$B$86</f>
        <v>0</v>
      </c>
      <c r="D614" s="753">
        <f t="shared" si="80"/>
        <v>0</v>
      </c>
      <c r="E614" s="753">
        <f>'Emission Factors'!$B$60*D614</f>
        <v>0</v>
      </c>
      <c r="F614" s="753">
        <f>E614*'Emission Factors'!$C$60*0.001</f>
        <v>0</v>
      </c>
      <c r="G614" s="753">
        <f>E614*'Emission Factors'!$D$60*0.001</f>
        <v>0</v>
      </c>
      <c r="H614" s="753">
        <f>E614*'Emission Factors'!$E$60*0.001</f>
        <v>0</v>
      </c>
      <c r="I614" s="754">
        <f t="shared" si="81"/>
        <v>0</v>
      </c>
      <c r="J614" s="755">
        <f>E614*'Emission Factors'!$G$60*0.001</f>
        <v>0</v>
      </c>
    </row>
    <row r="615" spans="1:13" ht="15" customHeight="1">
      <c r="A615" s="751"/>
      <c r="B615" s="763"/>
      <c r="C615" s="764">
        <f>B615/'Emission Factors'!$B$86</f>
        <v>0</v>
      </c>
      <c r="D615" s="753">
        <f t="shared" si="80"/>
        <v>0</v>
      </c>
      <c r="E615" s="753">
        <f>'Emission Factors'!$B$60*D615</f>
        <v>0</v>
      </c>
      <c r="F615" s="753">
        <f>E615*'Emission Factors'!$C$60*0.001</f>
        <v>0</v>
      </c>
      <c r="G615" s="753">
        <f>E615*'Emission Factors'!$D$60*0.001</f>
        <v>0</v>
      </c>
      <c r="H615" s="753">
        <f>E615*'Emission Factors'!$E$60*0.001</f>
        <v>0</v>
      </c>
      <c r="I615" s="754">
        <f t="shared" si="81"/>
        <v>0</v>
      </c>
      <c r="J615" s="755">
        <f>E615*'Emission Factors'!$G$60*0.001</f>
        <v>0</v>
      </c>
    </row>
    <row r="616" spans="1:13" ht="15" customHeight="1">
      <c r="A616" s="751"/>
      <c r="B616" s="763"/>
      <c r="C616" s="764">
        <f>B616/'Emission Factors'!$B$86</f>
        <v>0</v>
      </c>
      <c r="D616" s="753">
        <f t="shared" si="80"/>
        <v>0</v>
      </c>
      <c r="E616" s="753">
        <f>'Emission Factors'!$B$60*D616</f>
        <v>0</v>
      </c>
      <c r="F616" s="753">
        <f>E616*'Emission Factors'!$C$60*0.001</f>
        <v>0</v>
      </c>
      <c r="G616" s="753">
        <f>E616*'Emission Factors'!$D$60*0.001</f>
        <v>0</v>
      </c>
      <c r="H616" s="753">
        <f>E616*'Emission Factors'!$E$60*0.001</f>
        <v>0</v>
      </c>
      <c r="I616" s="754">
        <f t="shared" si="81"/>
        <v>0</v>
      </c>
      <c r="J616" s="755">
        <f>E616*'Emission Factors'!$G$60*0.001</f>
        <v>0</v>
      </c>
    </row>
    <row r="617" spans="1:13" ht="15" customHeight="1">
      <c r="A617" s="751"/>
      <c r="B617" s="763"/>
      <c r="C617" s="764">
        <f>B617/'Emission Factors'!$B$86</f>
        <v>0</v>
      </c>
      <c r="D617" s="753">
        <f t="shared" si="80"/>
        <v>0</v>
      </c>
      <c r="E617" s="753">
        <f>'Emission Factors'!$B$60*D617</f>
        <v>0</v>
      </c>
      <c r="F617" s="753">
        <f>E617*'Emission Factors'!$C$60*0.001</f>
        <v>0</v>
      </c>
      <c r="G617" s="753">
        <f>E617*'Emission Factors'!$D$60*0.001</f>
        <v>0</v>
      </c>
      <c r="H617" s="753">
        <f>E617*'Emission Factors'!$E$60*0.001</f>
        <v>0</v>
      </c>
      <c r="I617" s="754">
        <f t="shared" si="81"/>
        <v>0</v>
      </c>
      <c r="J617" s="755">
        <f>E617*'Emission Factors'!$G$60*0.001</f>
        <v>0</v>
      </c>
    </row>
    <row r="618" spans="1:13" ht="15" customHeight="1">
      <c r="A618" s="751"/>
      <c r="B618" s="763"/>
      <c r="C618" s="764">
        <f>B618/'Emission Factors'!$B$86</f>
        <v>0</v>
      </c>
      <c r="D618" s="753">
        <f t="shared" si="80"/>
        <v>0</v>
      </c>
      <c r="E618" s="753">
        <f>'Emission Factors'!$B$60*D618</f>
        <v>0</v>
      </c>
      <c r="F618" s="753">
        <f>E618*'Emission Factors'!$C$60*0.001</f>
        <v>0</v>
      </c>
      <c r="G618" s="753">
        <f>E618*'Emission Factors'!$D$60*0.001</f>
        <v>0</v>
      </c>
      <c r="H618" s="753">
        <f>E618*'Emission Factors'!$E$60*0.001</f>
        <v>0</v>
      </c>
      <c r="I618" s="754">
        <f t="shared" si="81"/>
        <v>0</v>
      </c>
      <c r="J618" s="755">
        <f>E618*'Emission Factors'!$G$60*0.001</f>
        <v>0</v>
      </c>
    </row>
    <row r="619" spans="1:13" ht="15" customHeight="1">
      <c r="A619" s="751"/>
      <c r="B619" s="763"/>
      <c r="C619" s="764">
        <f>B619/'Emission Factors'!$B$86</f>
        <v>0</v>
      </c>
      <c r="D619" s="753">
        <f t="shared" si="80"/>
        <v>0</v>
      </c>
      <c r="E619" s="753">
        <f>'Emission Factors'!$B$60*D619</f>
        <v>0</v>
      </c>
      <c r="F619" s="753">
        <f>E619*'Emission Factors'!$C$60*0.001</f>
        <v>0</v>
      </c>
      <c r="G619" s="753">
        <f>E619*'Emission Factors'!$D$60*0.001</f>
        <v>0</v>
      </c>
      <c r="H619" s="753">
        <f>E619*'Emission Factors'!$E$60*0.001</f>
        <v>0</v>
      </c>
      <c r="I619" s="754">
        <f t="shared" si="81"/>
        <v>0</v>
      </c>
      <c r="J619" s="755">
        <f>E619*'Emission Factors'!$G$60*0.001</f>
        <v>0</v>
      </c>
    </row>
    <row r="620" spans="1:13" ht="15" customHeight="1" thickBot="1">
      <c r="A620" s="751"/>
      <c r="B620" s="763"/>
      <c r="C620" s="764">
        <f>B620/'Emission Factors'!$B$86</f>
        <v>0</v>
      </c>
      <c r="D620" s="753">
        <f>C620/1000</f>
        <v>0</v>
      </c>
      <c r="E620" s="753">
        <f>'Emission Factors'!$B$60*D620</f>
        <v>0</v>
      </c>
      <c r="F620" s="753">
        <f>E620*'Emission Factors'!$C$60*0.001</f>
        <v>0</v>
      </c>
      <c r="G620" s="753">
        <f>E620*'Emission Factors'!$D$60*0.001</f>
        <v>0</v>
      </c>
      <c r="H620" s="753">
        <f>E620*'Emission Factors'!$E$60*0.001</f>
        <v>0</v>
      </c>
      <c r="I620" s="754">
        <f t="shared" si="81"/>
        <v>0</v>
      </c>
      <c r="J620" s="755">
        <f>E620*'Emission Factors'!$G$60*0.001</f>
        <v>0</v>
      </c>
    </row>
    <row r="621" spans="1:13" ht="27.75" customHeight="1" thickBot="1">
      <c r="H621" s="760" t="s">
        <v>434</v>
      </c>
      <c r="I621" s="761">
        <f>SUM(I611:I620)</f>
        <v>0</v>
      </c>
      <c r="J621" s="762">
        <f>SUM(J611:J620)</f>
        <v>0</v>
      </c>
    </row>
    <row r="622" spans="1:13" ht="23.25">
      <c r="A622" s="758" t="s">
        <v>435</v>
      </c>
    </row>
    <row r="623" spans="1:13" s="740" customFormat="1" ht="36" customHeight="1">
      <c r="A623" s="2066" t="s">
        <v>461</v>
      </c>
      <c r="B623" s="2067"/>
      <c r="C623" s="2067"/>
      <c r="D623" s="2067"/>
      <c r="E623" s="2067"/>
      <c r="F623" s="2068"/>
      <c r="G623" s="806"/>
    </row>
    <row r="624" spans="1:13" s="743" customFormat="1" ht="24" customHeight="1" thickBot="1">
      <c r="A624" s="2004" t="s">
        <v>462</v>
      </c>
      <c r="B624" s="2005"/>
      <c r="C624" s="2006"/>
      <c r="D624" s="2007" t="s">
        <v>427</v>
      </c>
      <c r="E624" s="2008"/>
      <c r="F624" s="766"/>
      <c r="H624" s="767"/>
      <c r="I624" s="742"/>
      <c r="J624" s="742"/>
      <c r="K624" s="742"/>
      <c r="L624" s="742"/>
      <c r="M624" s="742"/>
    </row>
    <row r="625" spans="1:18" ht="18.75">
      <c r="E625" s="744"/>
      <c r="F625" s="744"/>
      <c r="G625" s="744"/>
      <c r="H625" s="745" t="s">
        <v>62</v>
      </c>
      <c r="I625" s="746" t="s">
        <v>92</v>
      </c>
    </row>
    <row r="626" spans="1:18" ht="110.45" customHeight="1">
      <c r="A626" s="747" t="s">
        <v>428</v>
      </c>
      <c r="B626" s="747" t="s">
        <v>463</v>
      </c>
      <c r="C626" s="747" t="s">
        <v>464</v>
      </c>
      <c r="D626" s="748" t="s">
        <v>448</v>
      </c>
      <c r="E626" s="748" t="s">
        <v>420</v>
      </c>
      <c r="F626" s="748" t="s">
        <v>431</v>
      </c>
      <c r="G626" s="748" t="s">
        <v>432</v>
      </c>
      <c r="H626" s="749" t="s">
        <v>420</v>
      </c>
      <c r="I626" s="750" t="s">
        <v>420</v>
      </c>
    </row>
    <row r="627" spans="1:18">
      <c r="A627" s="751"/>
      <c r="B627" s="768"/>
      <c r="C627" s="753">
        <f>(B627/'Emission Factors'!$F$86)/1000</f>
        <v>0</v>
      </c>
      <c r="D627" s="753">
        <f>'Emission Factors'!$B$60*C627</f>
        <v>0</v>
      </c>
      <c r="E627" s="753">
        <f>D627*'Emission Factors'!$C$60*0.001</f>
        <v>0</v>
      </c>
      <c r="F627" s="753">
        <f>D627*'Emission Factors'!$D$60*0.001</f>
        <v>0</v>
      </c>
      <c r="G627" s="753">
        <f>D627*'Emission Factors'!$E$60*0.001</f>
        <v>0</v>
      </c>
      <c r="H627" s="754">
        <f>E627+F627+G627</f>
        <v>0</v>
      </c>
      <c r="I627" s="755">
        <f>D627*'Emission Factors'!$G$60*0.001</f>
        <v>0</v>
      </c>
    </row>
    <row r="628" spans="1:18">
      <c r="A628" s="751"/>
      <c r="B628" s="768"/>
      <c r="C628" s="753">
        <f>(B628/'Emission Factors'!$F$86)/1000</f>
        <v>0</v>
      </c>
      <c r="D628" s="753">
        <f>'Emission Factors'!$B$60*C628</f>
        <v>0</v>
      </c>
      <c r="E628" s="753">
        <f>D628*'Emission Factors'!$C$60*0.001</f>
        <v>0</v>
      </c>
      <c r="F628" s="753">
        <f>D628*'Emission Factors'!$D$60*0.001</f>
        <v>0</v>
      </c>
      <c r="G628" s="753">
        <f>D628*'Emission Factors'!$E$60*0.001</f>
        <v>0</v>
      </c>
      <c r="H628" s="754">
        <f t="shared" ref="H628:H636" si="82">E628+F628+G628</f>
        <v>0</v>
      </c>
      <c r="I628" s="755">
        <f>D628*'Emission Factors'!$G$60*0.001</f>
        <v>0</v>
      </c>
    </row>
    <row r="629" spans="1:18">
      <c r="A629" s="751"/>
      <c r="B629" s="768"/>
      <c r="C629" s="753">
        <f>(B629/'Emission Factors'!$F$86)/1000</f>
        <v>0</v>
      </c>
      <c r="D629" s="753">
        <f>'Emission Factors'!$B$60*C629</f>
        <v>0</v>
      </c>
      <c r="E629" s="753">
        <f>D629*'Emission Factors'!$C$60*0.001</f>
        <v>0</v>
      </c>
      <c r="F629" s="753">
        <f>D629*'Emission Factors'!$D$60*0.001</f>
        <v>0</v>
      </c>
      <c r="G629" s="753">
        <f>D629*'Emission Factors'!$E$60*0.001</f>
        <v>0</v>
      </c>
      <c r="H629" s="754">
        <f t="shared" si="82"/>
        <v>0</v>
      </c>
      <c r="I629" s="755">
        <f>D629*'Emission Factors'!$G$60*0.001</f>
        <v>0</v>
      </c>
    </row>
    <row r="630" spans="1:18">
      <c r="A630" s="751"/>
      <c r="B630" s="768"/>
      <c r="C630" s="753">
        <f>(B630/'Emission Factors'!$F$86)/1000</f>
        <v>0</v>
      </c>
      <c r="D630" s="753">
        <f>'Emission Factors'!$B$60*C630</f>
        <v>0</v>
      </c>
      <c r="E630" s="753">
        <f>D630*'Emission Factors'!$C$60*0.001</f>
        <v>0</v>
      </c>
      <c r="F630" s="753">
        <f>D630*'Emission Factors'!$D$60*0.001</f>
        <v>0</v>
      </c>
      <c r="G630" s="753">
        <f>D630*'Emission Factors'!$E$60*0.001</f>
        <v>0</v>
      </c>
      <c r="H630" s="754">
        <f t="shared" si="82"/>
        <v>0</v>
      </c>
      <c r="I630" s="755">
        <f>D630*'Emission Factors'!$G$60*0.001</f>
        <v>0</v>
      </c>
    </row>
    <row r="631" spans="1:18">
      <c r="A631" s="751"/>
      <c r="B631" s="768"/>
      <c r="C631" s="753">
        <f>(B631/'Emission Factors'!$F$86)/1000</f>
        <v>0</v>
      </c>
      <c r="D631" s="753">
        <f>'Emission Factors'!$B$60*C631</f>
        <v>0</v>
      </c>
      <c r="E631" s="753">
        <f>D631*'Emission Factors'!$C$60*0.001</f>
        <v>0</v>
      </c>
      <c r="F631" s="753">
        <f>D631*'Emission Factors'!$D$60*0.001</f>
        <v>0</v>
      </c>
      <c r="G631" s="753">
        <f>D631*'Emission Factors'!$E$60*0.001</f>
        <v>0</v>
      </c>
      <c r="H631" s="754">
        <f t="shared" si="82"/>
        <v>0</v>
      </c>
      <c r="I631" s="755">
        <f>D631*'Emission Factors'!$G$60*0.001</f>
        <v>0</v>
      </c>
    </row>
    <row r="632" spans="1:18">
      <c r="A632" s="751"/>
      <c r="B632" s="768"/>
      <c r="C632" s="753">
        <f>(B632/'Emission Factors'!$F$86)/1000</f>
        <v>0</v>
      </c>
      <c r="D632" s="753">
        <f>'Emission Factors'!$B$60*C632</f>
        <v>0</v>
      </c>
      <c r="E632" s="753">
        <f>D632*'Emission Factors'!$C$60*0.001</f>
        <v>0</v>
      </c>
      <c r="F632" s="753">
        <f>D632*'Emission Factors'!$D$60*0.001</f>
        <v>0</v>
      </c>
      <c r="G632" s="753">
        <f>D632*'Emission Factors'!$E$60*0.001</f>
        <v>0</v>
      </c>
      <c r="H632" s="754">
        <f t="shared" si="82"/>
        <v>0</v>
      </c>
      <c r="I632" s="755">
        <f>D632*'Emission Factors'!$G$60*0.001</f>
        <v>0</v>
      </c>
    </row>
    <row r="633" spans="1:18">
      <c r="A633" s="751"/>
      <c r="B633" s="768"/>
      <c r="C633" s="753">
        <f>(B633/'Emission Factors'!$F$86)/1000</f>
        <v>0</v>
      </c>
      <c r="D633" s="753">
        <f>'Emission Factors'!$B$60*C633</f>
        <v>0</v>
      </c>
      <c r="E633" s="753">
        <f>D633*'Emission Factors'!$C$60*0.001</f>
        <v>0</v>
      </c>
      <c r="F633" s="753">
        <f>D633*'Emission Factors'!$D$60*0.001</f>
        <v>0</v>
      </c>
      <c r="G633" s="753">
        <f>D633*'Emission Factors'!$E$60*0.001</f>
        <v>0</v>
      </c>
      <c r="H633" s="754">
        <f t="shared" si="82"/>
        <v>0</v>
      </c>
      <c r="I633" s="755">
        <f>D633*'Emission Factors'!$G$60*0.001</f>
        <v>0</v>
      </c>
    </row>
    <row r="634" spans="1:18">
      <c r="A634" s="751"/>
      <c r="B634" s="768"/>
      <c r="C634" s="753">
        <f>(B634/'Emission Factors'!$F$86)/1000</f>
        <v>0</v>
      </c>
      <c r="D634" s="753">
        <f>'Emission Factors'!$B$60*C634</f>
        <v>0</v>
      </c>
      <c r="E634" s="753">
        <f>D634*'Emission Factors'!$C$60*0.001</f>
        <v>0</v>
      </c>
      <c r="F634" s="753">
        <f>D634*'Emission Factors'!$D$60*0.001</f>
        <v>0</v>
      </c>
      <c r="G634" s="753">
        <f>D634*'Emission Factors'!$E$60*0.001</f>
        <v>0</v>
      </c>
      <c r="H634" s="754">
        <f t="shared" si="82"/>
        <v>0</v>
      </c>
      <c r="I634" s="755">
        <f>D634*'Emission Factors'!$G$60*0.001</f>
        <v>0</v>
      </c>
    </row>
    <row r="635" spans="1:18">
      <c r="A635" s="751"/>
      <c r="B635" s="768"/>
      <c r="C635" s="753">
        <f>(B635/'Emission Factors'!$F$86)/1000</f>
        <v>0</v>
      </c>
      <c r="D635" s="753">
        <f>'Emission Factors'!$B$60*C635</f>
        <v>0</v>
      </c>
      <c r="E635" s="753">
        <f>D635*'Emission Factors'!$C$60*0.001</f>
        <v>0</v>
      </c>
      <c r="F635" s="753">
        <f>D635*'Emission Factors'!$D$60*0.001</f>
        <v>0</v>
      </c>
      <c r="G635" s="753">
        <f>D635*'Emission Factors'!$E$60*0.001</f>
        <v>0</v>
      </c>
      <c r="H635" s="754">
        <f t="shared" si="82"/>
        <v>0</v>
      </c>
      <c r="I635" s="755">
        <f>D635*'Emission Factors'!$G$60*0.001</f>
        <v>0</v>
      </c>
    </row>
    <row r="636" spans="1:18" ht="16.5" thickBot="1">
      <c r="A636" s="751"/>
      <c r="B636" s="768"/>
      <c r="C636" s="753">
        <f>(B636/'Emission Factors'!$F$86)/1000</f>
        <v>0</v>
      </c>
      <c r="D636" s="753">
        <f>'Emission Factors'!$B$60*C636</f>
        <v>0</v>
      </c>
      <c r="E636" s="753">
        <f>D636*'Emission Factors'!$C$60*0.001</f>
        <v>0</v>
      </c>
      <c r="F636" s="753">
        <f>D636*'Emission Factors'!$D$60*0.001</f>
        <v>0</v>
      </c>
      <c r="G636" s="753">
        <f>D636*'Emission Factors'!$E$60*0.001</f>
        <v>0</v>
      </c>
      <c r="H636" s="754">
        <f t="shared" si="82"/>
        <v>0</v>
      </c>
      <c r="I636" s="755">
        <f>D636*'Emission Factors'!$G$60*0.001</f>
        <v>0</v>
      </c>
    </row>
    <row r="637" spans="1:18" ht="16.5" thickBot="1">
      <c r="A637" s="769"/>
      <c r="G637" s="760" t="s">
        <v>434</v>
      </c>
      <c r="H637" s="761">
        <f>SUM(H627:H636)</f>
        <v>0</v>
      </c>
      <c r="I637" s="762">
        <f>SUM(I627:I636)</f>
        <v>0</v>
      </c>
    </row>
    <row r="638" spans="1:18" s="743" customFormat="1" ht="23.25"/>
    <row r="639" spans="1:18" s="743" customFormat="1" ht="24" customHeight="1" thickBot="1">
      <c r="A639" s="2004" t="s">
        <v>465</v>
      </c>
      <c r="B639" s="2005"/>
      <c r="C639" s="2006"/>
      <c r="D639" s="2007" t="s">
        <v>427</v>
      </c>
      <c r="E639" s="2008"/>
      <c r="F639" s="741"/>
      <c r="G639" s="742"/>
      <c r="H639" s="742"/>
      <c r="I639" s="742"/>
      <c r="J639" s="742"/>
      <c r="K639" s="742"/>
      <c r="L639" s="742"/>
      <c r="M639" s="742"/>
      <c r="P639" s="766"/>
      <c r="R639" s="767"/>
    </row>
    <row r="640" spans="1:18" ht="18.75">
      <c r="E640" s="744"/>
      <c r="F640" s="744"/>
      <c r="G640" s="744"/>
      <c r="H640" s="745" t="s">
        <v>62</v>
      </c>
      <c r="I640" s="746" t="s">
        <v>92</v>
      </c>
    </row>
    <row r="641" spans="1:16" ht="110.45" customHeight="1">
      <c r="A641" s="747" t="s">
        <v>428</v>
      </c>
      <c r="B641" s="747" t="s">
        <v>463</v>
      </c>
      <c r="C641" s="747" t="s">
        <v>464</v>
      </c>
      <c r="D641" s="748" t="s">
        <v>448</v>
      </c>
      <c r="E641" s="748" t="s">
        <v>420</v>
      </c>
      <c r="F641" s="748" t="s">
        <v>431</v>
      </c>
      <c r="G641" s="748" t="s">
        <v>432</v>
      </c>
      <c r="H641" s="749" t="s">
        <v>420</v>
      </c>
      <c r="I641" s="750" t="s">
        <v>420</v>
      </c>
    </row>
    <row r="642" spans="1:16">
      <c r="A642" s="751"/>
      <c r="B642" s="768"/>
      <c r="C642" s="753">
        <f>(B642/'Emission Factors'!$F$87)/1000</f>
        <v>0</v>
      </c>
      <c r="D642" s="753">
        <f>'Emission Factors'!$B$60*C642</f>
        <v>0</v>
      </c>
      <c r="E642" s="753">
        <f>D642*'Emission Factors'!$C$60*0.001</f>
        <v>0</v>
      </c>
      <c r="F642" s="753">
        <f>D642*'Emission Factors'!$D$60*0.001</f>
        <v>0</v>
      </c>
      <c r="G642" s="753">
        <f>D642*'Emission Factors'!$E$60*0.001</f>
        <v>0</v>
      </c>
      <c r="H642" s="754">
        <f>E642+F642+G642</f>
        <v>0</v>
      </c>
      <c r="I642" s="755">
        <f>D642*'Emission Factors'!$G$60*0.001</f>
        <v>0</v>
      </c>
    </row>
    <row r="643" spans="1:16">
      <c r="A643" s="751"/>
      <c r="B643" s="768"/>
      <c r="C643" s="753">
        <f>(B643/'Emission Factors'!$F$87)/1000</f>
        <v>0</v>
      </c>
      <c r="D643" s="753">
        <f>'Emission Factors'!$B$60*C643</f>
        <v>0</v>
      </c>
      <c r="E643" s="753">
        <f>D643*'Emission Factors'!$C$60*0.001</f>
        <v>0</v>
      </c>
      <c r="F643" s="753">
        <f>D643*'Emission Factors'!$D$60*0.001</f>
        <v>0</v>
      </c>
      <c r="G643" s="753">
        <f>D643*'Emission Factors'!$E$60*0.001</f>
        <v>0</v>
      </c>
      <c r="H643" s="754">
        <f t="shared" ref="H643:H651" si="83">E643+F643+G643</f>
        <v>0</v>
      </c>
      <c r="I643" s="755">
        <f>D643*'Emission Factors'!$G$60*0.001</f>
        <v>0</v>
      </c>
    </row>
    <row r="644" spans="1:16">
      <c r="A644" s="751"/>
      <c r="B644" s="768"/>
      <c r="C644" s="753">
        <f>(B644/'Emission Factors'!$F$87)/1000</f>
        <v>0</v>
      </c>
      <c r="D644" s="753">
        <f>'Emission Factors'!$B$60*C644</f>
        <v>0</v>
      </c>
      <c r="E644" s="753">
        <f>D644*'Emission Factors'!$C$60*0.001</f>
        <v>0</v>
      </c>
      <c r="F644" s="753">
        <f>D644*'Emission Factors'!$D$60*0.001</f>
        <v>0</v>
      </c>
      <c r="G644" s="753">
        <f>D644*'Emission Factors'!$E$60*0.001</f>
        <v>0</v>
      </c>
      <c r="H644" s="754">
        <f t="shared" si="83"/>
        <v>0</v>
      </c>
      <c r="I644" s="755">
        <f>D644*'Emission Factors'!$G$60*0.001</f>
        <v>0</v>
      </c>
    </row>
    <row r="645" spans="1:16">
      <c r="A645" s="751"/>
      <c r="B645" s="768"/>
      <c r="C645" s="753">
        <f>(B645/'Emission Factors'!$F$87)/1000</f>
        <v>0</v>
      </c>
      <c r="D645" s="753">
        <f>'Emission Factors'!$B$60*C645</f>
        <v>0</v>
      </c>
      <c r="E645" s="753">
        <f>D645*'Emission Factors'!$C$60*0.001</f>
        <v>0</v>
      </c>
      <c r="F645" s="753">
        <f>D645*'Emission Factors'!$D$60*0.001</f>
        <v>0</v>
      </c>
      <c r="G645" s="753">
        <f>D645*'Emission Factors'!$E$60*0.001</f>
        <v>0</v>
      </c>
      <c r="H645" s="754">
        <f t="shared" si="83"/>
        <v>0</v>
      </c>
      <c r="I645" s="755">
        <f>D645*'Emission Factors'!$G$60*0.001</f>
        <v>0</v>
      </c>
    </row>
    <row r="646" spans="1:16">
      <c r="A646" s="751"/>
      <c r="B646" s="768"/>
      <c r="C646" s="753">
        <f>(B646/'Emission Factors'!$F$87)/1000</f>
        <v>0</v>
      </c>
      <c r="D646" s="753">
        <f>'Emission Factors'!$B$60*C646</f>
        <v>0</v>
      </c>
      <c r="E646" s="753">
        <f>D646*'Emission Factors'!$C$60*0.001</f>
        <v>0</v>
      </c>
      <c r="F646" s="753">
        <f>D646*'Emission Factors'!$D$60*0.001</f>
        <v>0</v>
      </c>
      <c r="G646" s="753">
        <f>D646*'Emission Factors'!$E$60*0.001</f>
        <v>0</v>
      </c>
      <c r="H646" s="754">
        <f t="shared" si="83"/>
        <v>0</v>
      </c>
      <c r="I646" s="755">
        <f>D646*'Emission Factors'!$G$60*0.001</f>
        <v>0</v>
      </c>
    </row>
    <row r="647" spans="1:16">
      <c r="A647" s="751"/>
      <c r="B647" s="768"/>
      <c r="C647" s="753">
        <f>(B647/'Emission Factors'!$F$87)/1000</f>
        <v>0</v>
      </c>
      <c r="D647" s="753">
        <f>'Emission Factors'!$B$60*C647</f>
        <v>0</v>
      </c>
      <c r="E647" s="753">
        <f>D647*'Emission Factors'!$C$60*0.001</f>
        <v>0</v>
      </c>
      <c r="F647" s="753">
        <f>D647*'Emission Factors'!$D$60*0.001</f>
        <v>0</v>
      </c>
      <c r="G647" s="753">
        <f>D647*'Emission Factors'!$E$60*0.001</f>
        <v>0</v>
      </c>
      <c r="H647" s="754">
        <f t="shared" si="83"/>
        <v>0</v>
      </c>
      <c r="I647" s="755">
        <f>D647*'Emission Factors'!$G$60*0.001</f>
        <v>0</v>
      </c>
    </row>
    <row r="648" spans="1:16">
      <c r="A648" s="751"/>
      <c r="B648" s="768"/>
      <c r="C648" s="753">
        <f>(B648/'Emission Factors'!$F$87)/1000</f>
        <v>0</v>
      </c>
      <c r="D648" s="753">
        <f>'Emission Factors'!$B$60*C648</f>
        <v>0</v>
      </c>
      <c r="E648" s="753">
        <f>D648*'Emission Factors'!$C$60*0.001</f>
        <v>0</v>
      </c>
      <c r="F648" s="753">
        <f>D648*'Emission Factors'!$D$60*0.001</f>
        <v>0</v>
      </c>
      <c r="G648" s="753">
        <f>D648*'Emission Factors'!$E$60*0.001</f>
        <v>0</v>
      </c>
      <c r="H648" s="754">
        <f t="shared" si="83"/>
        <v>0</v>
      </c>
      <c r="I648" s="755">
        <f>D648*'Emission Factors'!$G$60*0.001</f>
        <v>0</v>
      </c>
    </row>
    <row r="649" spans="1:16">
      <c r="A649" s="751"/>
      <c r="B649" s="768"/>
      <c r="C649" s="753">
        <f>(B649/'Emission Factors'!$F$87)/1000</f>
        <v>0</v>
      </c>
      <c r="D649" s="753">
        <f>'Emission Factors'!$B$60*C649</f>
        <v>0</v>
      </c>
      <c r="E649" s="753">
        <f>D649*'Emission Factors'!$C$60*0.001</f>
        <v>0</v>
      </c>
      <c r="F649" s="753">
        <f>D649*'Emission Factors'!$D$60*0.001</f>
        <v>0</v>
      </c>
      <c r="G649" s="753">
        <f>D649*'Emission Factors'!$E$60*0.001</f>
        <v>0</v>
      </c>
      <c r="H649" s="754">
        <f t="shared" si="83"/>
        <v>0</v>
      </c>
      <c r="I649" s="755">
        <f>D649*'Emission Factors'!$G$60*0.001</f>
        <v>0</v>
      </c>
    </row>
    <row r="650" spans="1:16">
      <c r="A650" s="751"/>
      <c r="B650" s="768"/>
      <c r="C650" s="753">
        <f>(B650/'Emission Factors'!$F$87)/1000</f>
        <v>0</v>
      </c>
      <c r="D650" s="753">
        <f>'Emission Factors'!$B$60*C650</f>
        <v>0</v>
      </c>
      <c r="E650" s="753">
        <f>D650*'Emission Factors'!$C$60*0.001</f>
        <v>0</v>
      </c>
      <c r="F650" s="753">
        <f>D650*'Emission Factors'!$D$60*0.001</f>
        <v>0</v>
      </c>
      <c r="G650" s="753">
        <f>D650*'Emission Factors'!$E$60*0.001</f>
        <v>0</v>
      </c>
      <c r="H650" s="754">
        <f t="shared" si="83"/>
        <v>0</v>
      </c>
      <c r="I650" s="755">
        <f>D650*'Emission Factors'!$G$60*0.001</f>
        <v>0</v>
      </c>
    </row>
    <row r="651" spans="1:16" ht="16.5" thickBot="1">
      <c r="A651" s="751"/>
      <c r="B651" s="768"/>
      <c r="C651" s="753">
        <f>(B651/'Emission Factors'!$F$87)/1000</f>
        <v>0</v>
      </c>
      <c r="D651" s="753">
        <f>'Emission Factors'!$B$60*C651</f>
        <v>0</v>
      </c>
      <c r="E651" s="753">
        <f>D651*'Emission Factors'!$C$60*0.001</f>
        <v>0</v>
      </c>
      <c r="F651" s="753">
        <f>D651*'Emission Factors'!$D$60*0.001</f>
        <v>0</v>
      </c>
      <c r="G651" s="753">
        <f>D651*'Emission Factors'!$E$60*0.001</f>
        <v>0</v>
      </c>
      <c r="H651" s="754">
        <f t="shared" si="83"/>
        <v>0</v>
      </c>
      <c r="I651" s="755">
        <f>D651*'Emission Factors'!$G$60*0.001</f>
        <v>0</v>
      </c>
    </row>
    <row r="652" spans="1:16" ht="16.5" thickBot="1">
      <c r="A652" s="769"/>
      <c r="G652" s="760" t="s">
        <v>434</v>
      </c>
      <c r="H652" s="761">
        <f>SUM(H642:H651)</f>
        <v>0</v>
      </c>
      <c r="I652" s="762">
        <f>SUM(I642:I651)</f>
        <v>0</v>
      </c>
    </row>
    <row r="654" spans="1:16" s="740" customFormat="1" ht="36">
      <c r="A654" s="2064" t="s">
        <v>983</v>
      </c>
      <c r="B654" s="2065"/>
      <c r="C654" s="2065"/>
      <c r="D654" s="2065"/>
      <c r="E654" s="2065"/>
      <c r="F654" s="2065"/>
      <c r="G654" s="2065"/>
      <c r="H654" s="2065"/>
      <c r="I654" s="2065"/>
      <c r="J654" s="806"/>
    </row>
    <row r="655" spans="1:16" s="743" customFormat="1" ht="24" thickBot="1">
      <c r="A655" s="2004" t="s">
        <v>478</v>
      </c>
      <c r="B655" s="2005"/>
      <c r="C655" s="2006"/>
      <c r="D655" s="2007" t="s">
        <v>427</v>
      </c>
      <c r="E655" s="2008"/>
      <c r="F655" s="741"/>
      <c r="G655" s="742"/>
      <c r="H655" s="742"/>
      <c r="I655" s="742"/>
      <c r="J655" s="742"/>
      <c r="K655" s="742"/>
      <c r="L655" s="742"/>
      <c r="M655" s="742"/>
      <c r="N655" s="766"/>
      <c r="P655" s="767"/>
    </row>
    <row r="656" spans="1:16" ht="18.75">
      <c r="E656" s="744"/>
      <c r="F656" s="744"/>
      <c r="G656" s="744"/>
      <c r="H656" s="745" t="s">
        <v>62</v>
      </c>
      <c r="I656" s="746" t="s">
        <v>92</v>
      </c>
    </row>
    <row r="657" spans="1:17" ht="110.45" customHeight="1">
      <c r="A657" s="747" t="s">
        <v>428</v>
      </c>
      <c r="B657" s="747" t="s">
        <v>479</v>
      </c>
      <c r="C657" s="748" t="s">
        <v>474</v>
      </c>
      <c r="D657" s="748" t="s">
        <v>448</v>
      </c>
      <c r="E657" s="748" t="s">
        <v>420</v>
      </c>
      <c r="F657" s="748" t="s">
        <v>431</v>
      </c>
      <c r="G657" s="748" t="s">
        <v>432</v>
      </c>
      <c r="H657" s="749" t="s">
        <v>420</v>
      </c>
      <c r="I657" s="750" t="s">
        <v>420</v>
      </c>
    </row>
    <row r="658" spans="1:17">
      <c r="A658" s="751"/>
      <c r="B658" s="770"/>
      <c r="C658" s="753">
        <f t="shared" ref="C658:C666" si="84">B658/1000</f>
        <v>0</v>
      </c>
      <c r="D658" s="753">
        <f>'Emission Factors'!$B$65*C658</f>
        <v>0</v>
      </c>
      <c r="E658" s="753">
        <f>D658*'Emission Factors'!$C$65*0.001</f>
        <v>0</v>
      </c>
      <c r="F658" s="753">
        <f>E658*'Emission Factors'!$D$65*0.001</f>
        <v>0</v>
      </c>
      <c r="G658" s="753">
        <f>F658*'Emission Factors'!$E$65*0.001</f>
        <v>0</v>
      </c>
      <c r="H658" s="754">
        <f t="shared" ref="H658:H667" si="85">E658+F658+G658</f>
        <v>0</v>
      </c>
      <c r="I658" s="755">
        <f>D658*'Emission Factors'!$G$65*0.001</f>
        <v>0</v>
      </c>
    </row>
    <row r="659" spans="1:17">
      <c r="A659" s="751"/>
      <c r="B659" s="770"/>
      <c r="C659" s="753">
        <f t="shared" si="84"/>
        <v>0</v>
      </c>
      <c r="D659" s="753">
        <f>'Emission Factors'!$B$65*C659</f>
        <v>0</v>
      </c>
      <c r="E659" s="753">
        <f>D659*'Emission Factors'!$C$65*0.001</f>
        <v>0</v>
      </c>
      <c r="F659" s="753">
        <f>E659*'Emission Factors'!$D$65*0.001</f>
        <v>0</v>
      </c>
      <c r="G659" s="753">
        <f>F659*'Emission Factors'!$E$65*0.001</f>
        <v>0</v>
      </c>
      <c r="H659" s="754">
        <f t="shared" si="85"/>
        <v>0</v>
      </c>
      <c r="I659" s="755">
        <f>D659*'Emission Factors'!$G$65*0.001</f>
        <v>0</v>
      </c>
    </row>
    <row r="660" spans="1:17">
      <c r="A660" s="751"/>
      <c r="B660" s="770"/>
      <c r="C660" s="753">
        <f t="shared" si="84"/>
        <v>0</v>
      </c>
      <c r="D660" s="753">
        <f>'Emission Factors'!$B$65*C660</f>
        <v>0</v>
      </c>
      <c r="E660" s="753">
        <f>D660*'Emission Factors'!$C$65*0.001</f>
        <v>0</v>
      </c>
      <c r="F660" s="753">
        <f>E660*'Emission Factors'!$D$65*0.001</f>
        <v>0</v>
      </c>
      <c r="G660" s="753">
        <f>F660*'Emission Factors'!$E$65*0.001</f>
        <v>0</v>
      </c>
      <c r="H660" s="754">
        <f t="shared" si="85"/>
        <v>0</v>
      </c>
      <c r="I660" s="755">
        <f>D660*'Emission Factors'!$G$65*0.001</f>
        <v>0</v>
      </c>
    </row>
    <row r="661" spans="1:17">
      <c r="A661" s="751"/>
      <c r="B661" s="770"/>
      <c r="C661" s="753">
        <f t="shared" si="84"/>
        <v>0</v>
      </c>
      <c r="D661" s="753">
        <f>'Emission Factors'!$B$65*C661</f>
        <v>0</v>
      </c>
      <c r="E661" s="753">
        <f>D661*'Emission Factors'!$C$65*0.001</f>
        <v>0</v>
      </c>
      <c r="F661" s="753">
        <f>E661*'Emission Factors'!$D$65*0.001</f>
        <v>0</v>
      </c>
      <c r="G661" s="753">
        <f>F661*'Emission Factors'!$E$65*0.001</f>
        <v>0</v>
      </c>
      <c r="H661" s="754">
        <f t="shared" si="85"/>
        <v>0</v>
      </c>
      <c r="I661" s="755">
        <f>D661*'Emission Factors'!$G$65*0.001</f>
        <v>0</v>
      </c>
    </row>
    <row r="662" spans="1:17">
      <c r="A662" s="751"/>
      <c r="B662" s="770"/>
      <c r="C662" s="753">
        <f t="shared" si="84"/>
        <v>0</v>
      </c>
      <c r="D662" s="753">
        <f>'Emission Factors'!$B$65*C662</f>
        <v>0</v>
      </c>
      <c r="E662" s="753">
        <f>D662*'Emission Factors'!$C$65*0.001</f>
        <v>0</v>
      </c>
      <c r="F662" s="753">
        <f>E662*'Emission Factors'!$D$65*0.001</f>
        <v>0</v>
      </c>
      <c r="G662" s="753">
        <f>F662*'Emission Factors'!$E$65*0.001</f>
        <v>0</v>
      </c>
      <c r="H662" s="754">
        <f t="shared" si="85"/>
        <v>0</v>
      </c>
      <c r="I662" s="755">
        <f>D662*'Emission Factors'!$G$65*0.001</f>
        <v>0</v>
      </c>
    </row>
    <row r="663" spans="1:17">
      <c r="A663" s="751"/>
      <c r="B663" s="770"/>
      <c r="C663" s="753">
        <f t="shared" si="84"/>
        <v>0</v>
      </c>
      <c r="D663" s="753">
        <f>'Emission Factors'!$B$65*C663</f>
        <v>0</v>
      </c>
      <c r="E663" s="753">
        <f>D663*'Emission Factors'!$C$65*0.001</f>
        <v>0</v>
      </c>
      <c r="F663" s="753">
        <f>E663*'Emission Factors'!$D$65*0.001</f>
        <v>0</v>
      </c>
      <c r="G663" s="753">
        <f>F663*'Emission Factors'!$E$65*0.001</f>
        <v>0</v>
      </c>
      <c r="H663" s="754">
        <f t="shared" si="85"/>
        <v>0</v>
      </c>
      <c r="I663" s="755">
        <f>D663*'Emission Factors'!$G$65*0.001</f>
        <v>0</v>
      </c>
    </row>
    <row r="664" spans="1:17">
      <c r="A664" s="751"/>
      <c r="B664" s="770"/>
      <c r="C664" s="753">
        <f t="shared" si="84"/>
        <v>0</v>
      </c>
      <c r="D664" s="753">
        <f>'Emission Factors'!$B$65*C664</f>
        <v>0</v>
      </c>
      <c r="E664" s="753">
        <f>D664*'Emission Factors'!$C$65*0.001</f>
        <v>0</v>
      </c>
      <c r="F664" s="753">
        <f>E664*'Emission Factors'!$D$65*0.001</f>
        <v>0</v>
      </c>
      <c r="G664" s="753">
        <f>F664*'Emission Factors'!$E$65*0.001</f>
        <v>0</v>
      </c>
      <c r="H664" s="754">
        <f t="shared" si="85"/>
        <v>0</v>
      </c>
      <c r="I664" s="755">
        <f>D664*'Emission Factors'!$G$65*0.001</f>
        <v>0</v>
      </c>
    </row>
    <row r="665" spans="1:17">
      <c r="A665" s="751"/>
      <c r="B665" s="770"/>
      <c r="C665" s="753">
        <f t="shared" si="84"/>
        <v>0</v>
      </c>
      <c r="D665" s="753">
        <f>'Emission Factors'!$B$65*C665</f>
        <v>0</v>
      </c>
      <c r="E665" s="753">
        <f>D665*'Emission Factors'!$C$65*0.001</f>
        <v>0</v>
      </c>
      <c r="F665" s="753">
        <f>E665*'Emission Factors'!$D$65*0.001</f>
        <v>0</v>
      </c>
      <c r="G665" s="753">
        <f>F665*'Emission Factors'!$E$65*0.001</f>
        <v>0</v>
      </c>
      <c r="H665" s="754">
        <f t="shared" si="85"/>
        <v>0</v>
      </c>
      <c r="I665" s="755">
        <f>D665*'Emission Factors'!$G$65*0.001</f>
        <v>0</v>
      </c>
    </row>
    <row r="666" spans="1:17">
      <c r="A666" s="751"/>
      <c r="B666" s="770"/>
      <c r="C666" s="753">
        <f t="shared" si="84"/>
        <v>0</v>
      </c>
      <c r="D666" s="753">
        <f>'Emission Factors'!$B$65*C666</f>
        <v>0</v>
      </c>
      <c r="E666" s="753">
        <f>D666*'Emission Factors'!$C$65*0.001</f>
        <v>0</v>
      </c>
      <c r="F666" s="753">
        <f>E666*'Emission Factors'!$D$65*0.001</f>
        <v>0</v>
      </c>
      <c r="G666" s="753">
        <f>F666*'Emission Factors'!$E$65*0.001</f>
        <v>0</v>
      </c>
      <c r="H666" s="754">
        <f t="shared" si="85"/>
        <v>0</v>
      </c>
      <c r="I666" s="755">
        <f>D666*'Emission Factors'!$G$65*0.001</f>
        <v>0</v>
      </c>
    </row>
    <row r="667" spans="1:17" ht="16.5" thickBot="1">
      <c r="A667" s="751"/>
      <c r="B667" s="770"/>
      <c r="C667" s="753">
        <f>B667/1000</f>
        <v>0</v>
      </c>
      <c r="D667" s="753">
        <f>'Emission Factors'!$B$65*C667</f>
        <v>0</v>
      </c>
      <c r="E667" s="753">
        <f>D667*'Emission Factors'!$C$65*0.001</f>
        <v>0</v>
      </c>
      <c r="F667" s="753">
        <f>E667*'Emission Factors'!$D$65*0.001</f>
        <v>0</v>
      </c>
      <c r="G667" s="753">
        <f>F667*'Emission Factors'!$E$65*0.001</f>
        <v>0</v>
      </c>
      <c r="H667" s="771">
        <f t="shared" si="85"/>
        <v>0</v>
      </c>
      <c r="I667" s="755">
        <f>D667*'Emission Factors'!$G$65*0.001</f>
        <v>0</v>
      </c>
    </row>
    <row r="668" spans="1:17" s="743" customFormat="1" ht="24" thickBot="1">
      <c r="A668" s="758" t="s">
        <v>435</v>
      </c>
      <c r="B668" s="759"/>
      <c r="C668" s="759"/>
      <c r="D668" s="759"/>
      <c r="E668" s="742"/>
      <c r="F668" s="759"/>
      <c r="G668" s="760" t="s">
        <v>434</v>
      </c>
      <c r="H668" s="761">
        <f>SUM(H658:H667)</f>
        <v>0</v>
      </c>
      <c r="I668" s="762">
        <f>SUM(I658:I667)</f>
        <v>0</v>
      </c>
      <c r="J668" s="742"/>
      <c r="K668" s="742"/>
      <c r="L668" s="742"/>
      <c r="M668" s="742"/>
      <c r="N668" s="742"/>
      <c r="O668" s="759"/>
    </row>
    <row r="669" spans="1:17" s="743" customFormat="1" ht="23.45" customHeight="1" thickBot="1">
      <c r="A669" s="2004" t="s">
        <v>484</v>
      </c>
      <c r="B669" s="2005"/>
      <c r="C669" s="2006"/>
      <c r="D669" s="2007" t="s">
        <v>427</v>
      </c>
      <c r="E669" s="2008"/>
      <c r="F669" s="741"/>
      <c r="G669" s="742"/>
      <c r="H669" s="742"/>
      <c r="I669" s="742"/>
      <c r="J669" s="742"/>
      <c r="K669" s="742"/>
      <c r="L669" s="742"/>
      <c r="M669" s="742"/>
      <c r="O669" s="766"/>
      <c r="Q669" s="767"/>
    </row>
    <row r="670" spans="1:17" ht="18.75">
      <c r="E670" s="744"/>
      <c r="F670" s="744"/>
      <c r="G670" s="744"/>
      <c r="H670" s="745" t="s">
        <v>62</v>
      </c>
      <c r="I670" s="746" t="s">
        <v>92</v>
      </c>
    </row>
    <row r="671" spans="1:17" ht="110.45" customHeight="1">
      <c r="A671" s="747" t="s">
        <v>428</v>
      </c>
      <c r="B671" s="747" t="s">
        <v>979</v>
      </c>
      <c r="C671" s="747" t="s">
        <v>485</v>
      </c>
      <c r="D671" s="748" t="s">
        <v>448</v>
      </c>
      <c r="E671" s="748" t="s">
        <v>420</v>
      </c>
      <c r="F671" s="748" t="s">
        <v>431</v>
      </c>
      <c r="G671" s="748" t="s">
        <v>432</v>
      </c>
      <c r="H671" s="749" t="s">
        <v>420</v>
      </c>
      <c r="I671" s="750" t="s">
        <v>420</v>
      </c>
    </row>
    <row r="672" spans="1:17">
      <c r="A672" s="751"/>
      <c r="B672" s="763"/>
      <c r="C672" s="764">
        <f>(B672/'Emission Factors'!$B$87)/1000</f>
        <v>0</v>
      </c>
      <c r="D672" s="753">
        <f>'Emission Factors'!$B$65*C672</f>
        <v>0</v>
      </c>
      <c r="E672" s="753">
        <f>D672*'Emission Factors'!$C$65*0.001</f>
        <v>0</v>
      </c>
      <c r="F672" s="753">
        <f>E672*'Emission Factors'!$D$65*0.001</f>
        <v>0</v>
      </c>
      <c r="G672" s="753">
        <f>F672*'Emission Factors'!$E$65*0.001</f>
        <v>0</v>
      </c>
      <c r="H672" s="754">
        <f t="shared" ref="H672:H681" si="86">E672+F672+G672</f>
        <v>0</v>
      </c>
      <c r="I672" s="755">
        <f>D672*'Emission Factors'!$G$65*0.001</f>
        <v>0</v>
      </c>
    </row>
    <row r="673" spans="1:18">
      <c r="A673" s="751"/>
      <c r="B673" s="763"/>
      <c r="C673" s="764">
        <f>(B673/'Emission Factors'!$B$87)/1000</f>
        <v>0</v>
      </c>
      <c r="D673" s="753">
        <f>'Emission Factors'!$B$65*C673</f>
        <v>0</v>
      </c>
      <c r="E673" s="753">
        <f>D673*'Emission Factors'!$C$65*0.001</f>
        <v>0</v>
      </c>
      <c r="F673" s="753">
        <f>E673*'Emission Factors'!$D$65*0.001</f>
        <v>0</v>
      </c>
      <c r="G673" s="753">
        <f>F673*'Emission Factors'!$E$65*0.001</f>
        <v>0</v>
      </c>
      <c r="H673" s="754">
        <f t="shared" si="86"/>
        <v>0</v>
      </c>
      <c r="I673" s="755">
        <f>D673*'Emission Factors'!$G$65*0.001</f>
        <v>0</v>
      </c>
    </row>
    <row r="674" spans="1:18">
      <c r="A674" s="751"/>
      <c r="B674" s="763"/>
      <c r="C674" s="764">
        <f>(B674/'Emission Factors'!$B$87)/1000</f>
        <v>0</v>
      </c>
      <c r="D674" s="753">
        <f>'Emission Factors'!$B$65*C674</f>
        <v>0</v>
      </c>
      <c r="E674" s="753">
        <f>D674*'Emission Factors'!$C$65*0.001</f>
        <v>0</v>
      </c>
      <c r="F674" s="753">
        <f>E674*'Emission Factors'!$D$65*0.001</f>
        <v>0</v>
      </c>
      <c r="G674" s="753">
        <f>F674*'Emission Factors'!$E$65*0.001</f>
        <v>0</v>
      </c>
      <c r="H674" s="754">
        <f t="shared" si="86"/>
        <v>0</v>
      </c>
      <c r="I674" s="755">
        <f>D674*'Emission Factors'!$G$65*0.001</f>
        <v>0</v>
      </c>
    </row>
    <row r="675" spans="1:18">
      <c r="A675" s="751"/>
      <c r="B675" s="763"/>
      <c r="C675" s="764">
        <f>(B675/'Emission Factors'!$B$87)/1000</f>
        <v>0</v>
      </c>
      <c r="D675" s="753">
        <f>'Emission Factors'!$B$65*C675</f>
        <v>0</v>
      </c>
      <c r="E675" s="753">
        <f>D675*'Emission Factors'!$C$65*0.001</f>
        <v>0</v>
      </c>
      <c r="F675" s="753">
        <f>E675*'Emission Factors'!$D$65*0.001</f>
        <v>0</v>
      </c>
      <c r="G675" s="753">
        <f>F675*'Emission Factors'!$E$65*0.001</f>
        <v>0</v>
      </c>
      <c r="H675" s="754">
        <f t="shared" si="86"/>
        <v>0</v>
      </c>
      <c r="I675" s="755">
        <f>D675*'Emission Factors'!$G$65*0.001</f>
        <v>0</v>
      </c>
    </row>
    <row r="676" spans="1:18">
      <c r="A676" s="751"/>
      <c r="B676" s="763"/>
      <c r="C676" s="764">
        <f>(B676/'Emission Factors'!$B$87)/1000</f>
        <v>0</v>
      </c>
      <c r="D676" s="753">
        <f>'Emission Factors'!$B$65*C676</f>
        <v>0</v>
      </c>
      <c r="E676" s="753">
        <f>D676*'Emission Factors'!$C$65*0.001</f>
        <v>0</v>
      </c>
      <c r="F676" s="753">
        <f>E676*'Emission Factors'!$D$65*0.001</f>
        <v>0</v>
      </c>
      <c r="G676" s="753">
        <f>F676*'Emission Factors'!$E$65*0.001</f>
        <v>0</v>
      </c>
      <c r="H676" s="754">
        <f t="shared" si="86"/>
        <v>0</v>
      </c>
      <c r="I676" s="755">
        <f>D676*'Emission Factors'!$G$65*0.001</f>
        <v>0</v>
      </c>
    </row>
    <row r="677" spans="1:18">
      <c r="A677" s="751"/>
      <c r="B677" s="763"/>
      <c r="C677" s="764">
        <f>(B677/'Emission Factors'!$B$87)/1000</f>
        <v>0</v>
      </c>
      <c r="D677" s="753">
        <f>'Emission Factors'!$B$65*C677</f>
        <v>0</v>
      </c>
      <c r="E677" s="753">
        <f>D677*'Emission Factors'!$C$65*0.001</f>
        <v>0</v>
      </c>
      <c r="F677" s="753">
        <f>E677*'Emission Factors'!$D$65*0.001</f>
        <v>0</v>
      </c>
      <c r="G677" s="753">
        <f>F677*'Emission Factors'!$E$65*0.001</f>
        <v>0</v>
      </c>
      <c r="H677" s="754">
        <f t="shared" si="86"/>
        <v>0</v>
      </c>
      <c r="I677" s="755">
        <f>D677*'Emission Factors'!$G$65*0.001</f>
        <v>0</v>
      </c>
    </row>
    <row r="678" spans="1:18">
      <c r="A678" s="751"/>
      <c r="B678" s="763"/>
      <c r="C678" s="764">
        <f>(B678/'Emission Factors'!$B$87)/1000</f>
        <v>0</v>
      </c>
      <c r="D678" s="753">
        <f>'Emission Factors'!$B$65*C678</f>
        <v>0</v>
      </c>
      <c r="E678" s="753">
        <f>D678*'Emission Factors'!$C$65*0.001</f>
        <v>0</v>
      </c>
      <c r="F678" s="753">
        <f>E678*'Emission Factors'!$D$65*0.001</f>
        <v>0</v>
      </c>
      <c r="G678" s="753">
        <f>F678*'Emission Factors'!$E$65*0.001</f>
        <v>0</v>
      </c>
      <c r="H678" s="754">
        <f t="shared" si="86"/>
        <v>0</v>
      </c>
      <c r="I678" s="755">
        <f>D678*'Emission Factors'!$G$65*0.001</f>
        <v>0</v>
      </c>
    </row>
    <row r="679" spans="1:18">
      <c r="A679" s="751"/>
      <c r="B679" s="763"/>
      <c r="C679" s="764">
        <f>(B679/'Emission Factors'!$B$87)/1000</f>
        <v>0</v>
      </c>
      <c r="D679" s="753">
        <f>'Emission Factors'!$B$65*C679</f>
        <v>0</v>
      </c>
      <c r="E679" s="753">
        <f>D679*'Emission Factors'!$C$65*0.001</f>
        <v>0</v>
      </c>
      <c r="F679" s="753">
        <f>E679*'Emission Factors'!$D$65*0.001</f>
        <v>0</v>
      </c>
      <c r="G679" s="753">
        <f>F679*'Emission Factors'!$E$65*0.001</f>
        <v>0</v>
      </c>
      <c r="H679" s="754">
        <f t="shared" si="86"/>
        <v>0</v>
      </c>
      <c r="I679" s="755">
        <f>D679*'Emission Factors'!$G$65*0.001</f>
        <v>0</v>
      </c>
    </row>
    <row r="680" spans="1:18">
      <c r="A680" s="751"/>
      <c r="B680" s="763"/>
      <c r="C680" s="764">
        <f>(B680/'Emission Factors'!$B$87)/1000</f>
        <v>0</v>
      </c>
      <c r="D680" s="753">
        <f>'Emission Factors'!$B$65*C680</f>
        <v>0</v>
      </c>
      <c r="E680" s="753">
        <f>D680*'Emission Factors'!$C$65*0.001</f>
        <v>0</v>
      </c>
      <c r="F680" s="753">
        <f>E680*'Emission Factors'!$D$65*0.001</f>
        <v>0</v>
      </c>
      <c r="G680" s="753">
        <f>F680*'Emission Factors'!$E$65*0.001</f>
        <v>0</v>
      </c>
      <c r="H680" s="754">
        <f t="shared" si="86"/>
        <v>0</v>
      </c>
      <c r="I680" s="755">
        <f>D680*'Emission Factors'!$G$65*0.001</f>
        <v>0</v>
      </c>
    </row>
    <row r="681" spans="1:18" ht="16.5" thickBot="1">
      <c r="A681" s="751"/>
      <c r="B681" s="763"/>
      <c r="C681" s="764">
        <f>(B681/'Emission Factors'!$B$87)/1000</f>
        <v>0</v>
      </c>
      <c r="D681" s="753">
        <f>'Emission Factors'!$B$65*C681</f>
        <v>0</v>
      </c>
      <c r="E681" s="753">
        <f>D681*'Emission Factors'!$C$65*0.001</f>
        <v>0</v>
      </c>
      <c r="F681" s="753">
        <f>E681*'Emission Factors'!$D$65*0.001</f>
        <v>0</v>
      </c>
      <c r="G681" s="753">
        <f>F681*'Emission Factors'!$E$65*0.001</f>
        <v>0</v>
      </c>
      <c r="H681" s="771">
        <f t="shared" si="86"/>
        <v>0</v>
      </c>
      <c r="I681" s="755">
        <f>D681*'Emission Factors'!$G$65*0.001</f>
        <v>0</v>
      </c>
    </row>
    <row r="682" spans="1:18" ht="24" thickBot="1">
      <c r="A682" s="769"/>
      <c r="D682" s="759"/>
      <c r="E682" s="742"/>
      <c r="F682" s="759"/>
      <c r="G682" s="760" t="s">
        <v>434</v>
      </c>
      <c r="H682" s="761">
        <f>SUM(H672:H681)</f>
        <v>0</v>
      </c>
      <c r="I682" s="762">
        <f>SUM(I672:I681)</f>
        <v>0</v>
      </c>
      <c r="J682" s="742"/>
      <c r="K682" s="742"/>
      <c r="L682" s="742"/>
      <c r="M682" s="742"/>
      <c r="N682" s="742"/>
      <c r="O682" s="759"/>
      <c r="P682" s="743"/>
    </row>
    <row r="684" spans="1:18" s="740" customFormat="1" ht="36">
      <c r="A684" s="2064" t="s">
        <v>480</v>
      </c>
      <c r="B684" s="2065"/>
      <c r="C684" s="2065"/>
      <c r="D684" s="2065"/>
      <c r="E684" s="2065"/>
      <c r="F684" s="2065"/>
      <c r="G684" s="2065"/>
      <c r="H684" s="2065"/>
      <c r="I684" s="2065"/>
      <c r="J684" s="806"/>
    </row>
    <row r="685" spans="1:18" s="743" customFormat="1" ht="23.45" customHeight="1" thickBot="1">
      <c r="A685" s="2004" t="s">
        <v>481</v>
      </c>
      <c r="B685" s="2005"/>
      <c r="C685" s="2006"/>
      <c r="D685" s="2007" t="s">
        <v>427</v>
      </c>
      <c r="E685" s="2008"/>
      <c r="F685" s="741"/>
      <c r="G685" s="742"/>
      <c r="H685" s="742"/>
      <c r="I685" s="742"/>
      <c r="J685" s="742"/>
      <c r="K685" s="742"/>
      <c r="L685" s="742"/>
      <c r="M685" s="742"/>
      <c r="P685" s="766"/>
      <c r="R685" s="767"/>
    </row>
    <row r="686" spans="1:18" ht="18.75">
      <c r="E686" s="744"/>
      <c r="F686" s="744"/>
      <c r="G686" s="744"/>
      <c r="H686" s="745" t="s">
        <v>62</v>
      </c>
      <c r="I686" s="746" t="s">
        <v>92</v>
      </c>
    </row>
    <row r="687" spans="1:18" ht="110.45" customHeight="1">
      <c r="A687" s="747" t="s">
        <v>428</v>
      </c>
      <c r="B687" s="747" t="s">
        <v>463</v>
      </c>
      <c r="C687" s="747" t="s">
        <v>482</v>
      </c>
      <c r="D687" s="748" t="s">
        <v>448</v>
      </c>
      <c r="E687" s="748" t="s">
        <v>420</v>
      </c>
      <c r="F687" s="748" t="s">
        <v>431</v>
      </c>
      <c r="G687" s="748" t="s">
        <v>432</v>
      </c>
      <c r="H687" s="749" t="s">
        <v>420</v>
      </c>
      <c r="I687" s="750" t="s">
        <v>420</v>
      </c>
    </row>
    <row r="688" spans="1:18">
      <c r="A688" s="751"/>
      <c r="B688" s="768"/>
      <c r="C688" s="753">
        <f>(B688/'Emission Factors'!$F$87)/1000</f>
        <v>0</v>
      </c>
      <c r="D688" s="753">
        <f>'Emission Factors'!$B$65*C688</f>
        <v>0</v>
      </c>
      <c r="E688" s="753">
        <f>D688*'Emission Factors'!$C$65*0.001</f>
        <v>0</v>
      </c>
      <c r="F688" s="753">
        <f>E688*'Emission Factors'!$D$65*0.001</f>
        <v>0</v>
      </c>
      <c r="G688" s="753">
        <f>F688*'Emission Factors'!$E$65*0.001</f>
        <v>0</v>
      </c>
      <c r="H688" s="754">
        <f t="shared" ref="H688:H697" si="87">E688+F688+G688</f>
        <v>0</v>
      </c>
      <c r="I688" s="755">
        <f>D688*'Emission Factors'!$G$65*0.001</f>
        <v>0</v>
      </c>
    </row>
    <row r="689" spans="1:18">
      <c r="A689" s="751"/>
      <c r="B689" s="768"/>
      <c r="C689" s="753">
        <f>(B689/'Emission Factors'!$F$87)/1000</f>
        <v>0</v>
      </c>
      <c r="D689" s="753">
        <f>'Emission Factors'!$B$65*C689</f>
        <v>0</v>
      </c>
      <c r="E689" s="753">
        <f>D689*'Emission Factors'!$C$65*0.001</f>
        <v>0</v>
      </c>
      <c r="F689" s="753">
        <f>E689*'Emission Factors'!$D$65*0.001</f>
        <v>0</v>
      </c>
      <c r="G689" s="753">
        <f>F689*'Emission Factors'!$E$65*0.001</f>
        <v>0</v>
      </c>
      <c r="H689" s="754">
        <f t="shared" si="87"/>
        <v>0</v>
      </c>
      <c r="I689" s="755">
        <f>D689*'Emission Factors'!$G$65*0.001</f>
        <v>0</v>
      </c>
    </row>
    <row r="690" spans="1:18">
      <c r="A690" s="751"/>
      <c r="B690" s="768"/>
      <c r="C690" s="753">
        <f>(B690/'Emission Factors'!$F$87)/1000</f>
        <v>0</v>
      </c>
      <c r="D690" s="753">
        <f>'Emission Factors'!$B$65*C690</f>
        <v>0</v>
      </c>
      <c r="E690" s="753">
        <f>D690*'Emission Factors'!$C$65*0.001</f>
        <v>0</v>
      </c>
      <c r="F690" s="753">
        <f>E690*'Emission Factors'!$D$65*0.001</f>
        <v>0</v>
      </c>
      <c r="G690" s="753">
        <f>F690*'Emission Factors'!$E$65*0.001</f>
        <v>0</v>
      </c>
      <c r="H690" s="754">
        <f t="shared" si="87"/>
        <v>0</v>
      </c>
      <c r="I690" s="755">
        <f>D690*'Emission Factors'!$G$65*0.001</f>
        <v>0</v>
      </c>
    </row>
    <row r="691" spans="1:18">
      <c r="A691" s="751"/>
      <c r="B691" s="768"/>
      <c r="C691" s="753">
        <f>(B691/'Emission Factors'!$F$87)/1000</f>
        <v>0</v>
      </c>
      <c r="D691" s="753">
        <f>'Emission Factors'!$B$65*C691</f>
        <v>0</v>
      </c>
      <c r="E691" s="753">
        <f>D691*'Emission Factors'!$C$65*0.001</f>
        <v>0</v>
      </c>
      <c r="F691" s="753">
        <f>E691*'Emission Factors'!$D$65*0.001</f>
        <v>0</v>
      </c>
      <c r="G691" s="753">
        <f>F691*'Emission Factors'!$E$65*0.001</f>
        <v>0</v>
      </c>
      <c r="H691" s="754">
        <f t="shared" si="87"/>
        <v>0</v>
      </c>
      <c r="I691" s="755">
        <f>D691*'Emission Factors'!$G$65*0.001</f>
        <v>0</v>
      </c>
    </row>
    <row r="692" spans="1:18">
      <c r="A692" s="751"/>
      <c r="B692" s="768"/>
      <c r="C692" s="753">
        <f>(B692/'Emission Factors'!$F$87)/1000</f>
        <v>0</v>
      </c>
      <c r="D692" s="753">
        <f>'Emission Factors'!$B$65*C692</f>
        <v>0</v>
      </c>
      <c r="E692" s="753">
        <f>D692*'Emission Factors'!$C$65*0.001</f>
        <v>0</v>
      </c>
      <c r="F692" s="753">
        <f>E692*'Emission Factors'!$D$65*0.001</f>
        <v>0</v>
      </c>
      <c r="G692" s="753">
        <f>F692*'Emission Factors'!$E$65*0.001</f>
        <v>0</v>
      </c>
      <c r="H692" s="754">
        <f t="shared" si="87"/>
        <v>0</v>
      </c>
      <c r="I692" s="755">
        <f>D692*'Emission Factors'!$G$65*0.001</f>
        <v>0</v>
      </c>
    </row>
    <row r="693" spans="1:18">
      <c r="A693" s="751"/>
      <c r="B693" s="768"/>
      <c r="C693" s="753">
        <f>(B693/'Emission Factors'!$F$87)/1000</f>
        <v>0</v>
      </c>
      <c r="D693" s="753">
        <f>'Emission Factors'!$B$65*C693</f>
        <v>0</v>
      </c>
      <c r="E693" s="753">
        <f>D693*'Emission Factors'!$C$65*0.001</f>
        <v>0</v>
      </c>
      <c r="F693" s="753">
        <f>E693*'Emission Factors'!$D$65*0.001</f>
        <v>0</v>
      </c>
      <c r="G693" s="753">
        <f>F693*'Emission Factors'!$E$65*0.001</f>
        <v>0</v>
      </c>
      <c r="H693" s="754">
        <f t="shared" si="87"/>
        <v>0</v>
      </c>
      <c r="I693" s="755">
        <f>D693*'Emission Factors'!$G$65*0.001</f>
        <v>0</v>
      </c>
    </row>
    <row r="694" spans="1:18">
      <c r="A694" s="751"/>
      <c r="B694" s="768"/>
      <c r="C694" s="753">
        <f>(B694/'Emission Factors'!$F$87)/1000</f>
        <v>0</v>
      </c>
      <c r="D694" s="753">
        <f>'Emission Factors'!$B$65*C694</f>
        <v>0</v>
      </c>
      <c r="E694" s="753">
        <f>D694*'Emission Factors'!$C$65*0.001</f>
        <v>0</v>
      </c>
      <c r="F694" s="753">
        <f>E694*'Emission Factors'!$D$65*0.001</f>
        <v>0</v>
      </c>
      <c r="G694" s="753">
        <f>F694*'Emission Factors'!$E$65*0.001</f>
        <v>0</v>
      </c>
      <c r="H694" s="754">
        <f t="shared" si="87"/>
        <v>0</v>
      </c>
      <c r="I694" s="755">
        <f>D694*'Emission Factors'!$G$65*0.001</f>
        <v>0</v>
      </c>
    </row>
    <row r="695" spans="1:18">
      <c r="A695" s="751"/>
      <c r="B695" s="768"/>
      <c r="C695" s="753">
        <f>(B695/'Emission Factors'!$F$87)/1000</f>
        <v>0</v>
      </c>
      <c r="D695" s="753">
        <f>'Emission Factors'!$B$65*C695</f>
        <v>0</v>
      </c>
      <c r="E695" s="753">
        <f>D695*'Emission Factors'!$C$65*0.001</f>
        <v>0</v>
      </c>
      <c r="F695" s="753">
        <f>E695*'Emission Factors'!$D$65*0.001</f>
        <v>0</v>
      </c>
      <c r="G695" s="753">
        <f>F695*'Emission Factors'!$E$65*0.001</f>
        <v>0</v>
      </c>
      <c r="H695" s="754">
        <f t="shared" si="87"/>
        <v>0</v>
      </c>
      <c r="I695" s="755">
        <f>D695*'Emission Factors'!$G$65*0.001</f>
        <v>0</v>
      </c>
    </row>
    <row r="696" spans="1:18">
      <c r="A696" s="751"/>
      <c r="B696" s="768"/>
      <c r="C696" s="753">
        <f>(B696/'Emission Factors'!$F$87)/1000</f>
        <v>0</v>
      </c>
      <c r="D696" s="753">
        <f>'Emission Factors'!$B$65*C696</f>
        <v>0</v>
      </c>
      <c r="E696" s="753">
        <f>D696*'Emission Factors'!$C$65*0.001</f>
        <v>0</v>
      </c>
      <c r="F696" s="753">
        <f>E696*'Emission Factors'!$D$65*0.001</f>
        <v>0</v>
      </c>
      <c r="G696" s="753">
        <f>F696*'Emission Factors'!$E$65*0.001</f>
        <v>0</v>
      </c>
      <c r="H696" s="754">
        <f t="shared" si="87"/>
        <v>0</v>
      </c>
      <c r="I696" s="755">
        <f>D696*'Emission Factors'!$G$65*0.001</f>
        <v>0</v>
      </c>
    </row>
    <row r="697" spans="1:18" ht="16.5" thickBot="1">
      <c r="A697" s="751"/>
      <c r="B697" s="768"/>
      <c r="C697" s="753">
        <f>(B697/'Emission Factors'!$F$87)/1000</f>
        <v>0</v>
      </c>
      <c r="D697" s="753">
        <f>'Emission Factors'!$B$65*C697</f>
        <v>0</v>
      </c>
      <c r="E697" s="753">
        <f>D697*'Emission Factors'!$C$65*0.001</f>
        <v>0</v>
      </c>
      <c r="F697" s="753">
        <f>E697*'Emission Factors'!$D$65*0.001</f>
        <v>0</v>
      </c>
      <c r="G697" s="753">
        <f>F697*'Emission Factors'!$E$65*0.001</f>
        <v>0</v>
      </c>
      <c r="H697" s="771">
        <f t="shared" si="87"/>
        <v>0</v>
      </c>
      <c r="I697" s="755">
        <f>D697*'Emission Factors'!$G$65*0.001</f>
        <v>0</v>
      </c>
    </row>
    <row r="698" spans="1:18" s="743" customFormat="1" ht="24" thickBot="1">
      <c r="A698" s="758" t="s">
        <v>435</v>
      </c>
      <c r="D698" s="759"/>
      <c r="E698" s="742"/>
      <c r="F698" s="759"/>
      <c r="G698" s="760" t="s">
        <v>434</v>
      </c>
      <c r="H698" s="761">
        <f>SUM(H688:H697)</f>
        <v>0</v>
      </c>
      <c r="I698" s="762">
        <f>SUM(I688:I697)</f>
        <v>0</v>
      </c>
      <c r="J698" s="742"/>
      <c r="K698" s="742"/>
      <c r="L698" s="742"/>
      <c r="M698" s="742"/>
      <c r="N698" s="742"/>
      <c r="O698" s="759"/>
    </row>
    <row r="699" spans="1:18" s="743" customFormat="1" ht="23.45" customHeight="1" thickBot="1">
      <c r="A699" s="2004" t="s">
        <v>483</v>
      </c>
      <c r="B699" s="2005"/>
      <c r="C699" s="2006"/>
      <c r="D699" s="2007" t="s">
        <v>427</v>
      </c>
      <c r="E699" s="2008"/>
      <c r="F699" s="741"/>
      <c r="G699" s="742"/>
      <c r="H699" s="742"/>
      <c r="I699" s="742"/>
      <c r="J699" s="742"/>
      <c r="K699" s="742"/>
      <c r="L699" s="742"/>
      <c r="M699" s="742"/>
      <c r="P699" s="766"/>
      <c r="R699" s="767"/>
    </row>
    <row r="700" spans="1:18" ht="18.75">
      <c r="E700" s="744"/>
      <c r="F700" s="744"/>
      <c r="G700" s="744"/>
      <c r="H700" s="745" t="s">
        <v>62</v>
      </c>
      <c r="I700" s="746" t="s">
        <v>92</v>
      </c>
    </row>
    <row r="701" spans="1:18" ht="110.45" customHeight="1">
      <c r="A701" s="747" t="s">
        <v>428</v>
      </c>
      <c r="B701" s="747" t="s">
        <v>463</v>
      </c>
      <c r="C701" s="747" t="s">
        <v>482</v>
      </c>
      <c r="D701" s="748" t="s">
        <v>448</v>
      </c>
      <c r="E701" s="748" t="s">
        <v>420</v>
      </c>
      <c r="F701" s="748" t="s">
        <v>431</v>
      </c>
      <c r="G701" s="748" t="s">
        <v>432</v>
      </c>
      <c r="H701" s="749" t="s">
        <v>420</v>
      </c>
      <c r="I701" s="750" t="s">
        <v>420</v>
      </c>
    </row>
    <row r="702" spans="1:18">
      <c r="A702" s="751"/>
      <c r="B702" s="768"/>
      <c r="C702" s="753">
        <f>(B702/'Emission Factors'!$F$88)/1000</f>
        <v>0</v>
      </c>
      <c r="D702" s="753">
        <f>'Emission Factors'!$B$65*C702</f>
        <v>0</v>
      </c>
      <c r="E702" s="753">
        <f>D702*'Emission Factors'!$C$65*0.001</f>
        <v>0</v>
      </c>
      <c r="F702" s="753">
        <f>E702*'Emission Factors'!$D$65*0.001</f>
        <v>0</v>
      </c>
      <c r="G702" s="753">
        <f>F702*'Emission Factors'!$E$65*0.001</f>
        <v>0</v>
      </c>
      <c r="H702" s="754">
        <f t="shared" ref="H702:H711" si="88">E702+F702+G702</f>
        <v>0</v>
      </c>
      <c r="I702" s="755">
        <f>D702*'Emission Factors'!$G$65*0.001</f>
        <v>0</v>
      </c>
    </row>
    <row r="703" spans="1:18">
      <c r="A703" s="751"/>
      <c r="B703" s="768"/>
      <c r="C703" s="753">
        <f>(B703/'Emission Factors'!$F$88)/1000</f>
        <v>0</v>
      </c>
      <c r="D703" s="753">
        <f>'Emission Factors'!$B$65*C703</f>
        <v>0</v>
      </c>
      <c r="E703" s="753">
        <f>D703*'Emission Factors'!$C$65*0.001</f>
        <v>0</v>
      </c>
      <c r="F703" s="753">
        <f>E703*'Emission Factors'!$D$65*0.001</f>
        <v>0</v>
      </c>
      <c r="G703" s="753">
        <f>F703*'Emission Factors'!$E$65*0.001</f>
        <v>0</v>
      </c>
      <c r="H703" s="754">
        <f t="shared" si="88"/>
        <v>0</v>
      </c>
      <c r="I703" s="755">
        <f>D703*'Emission Factors'!$G$65*0.001</f>
        <v>0</v>
      </c>
    </row>
    <row r="704" spans="1:18">
      <c r="A704" s="751"/>
      <c r="B704" s="768"/>
      <c r="C704" s="753">
        <f>(B704/'Emission Factors'!$F$88)/1000</f>
        <v>0</v>
      </c>
      <c r="D704" s="753">
        <f>'Emission Factors'!$B$65*C704</f>
        <v>0</v>
      </c>
      <c r="E704" s="753">
        <f>D704*'Emission Factors'!$C$65*0.001</f>
        <v>0</v>
      </c>
      <c r="F704" s="753">
        <f>E704*'Emission Factors'!$D$65*0.001</f>
        <v>0</v>
      </c>
      <c r="G704" s="753">
        <f>F704*'Emission Factors'!$E$65*0.001</f>
        <v>0</v>
      </c>
      <c r="H704" s="754">
        <f t="shared" si="88"/>
        <v>0</v>
      </c>
      <c r="I704" s="755">
        <f>D704*'Emission Factors'!$G$65*0.001</f>
        <v>0</v>
      </c>
    </row>
    <row r="705" spans="1:18">
      <c r="A705" s="751"/>
      <c r="B705" s="768"/>
      <c r="C705" s="753">
        <f>(B705/'Emission Factors'!$F$88)/1000</f>
        <v>0</v>
      </c>
      <c r="D705" s="753">
        <f>'Emission Factors'!$B$65*C705</f>
        <v>0</v>
      </c>
      <c r="E705" s="753">
        <f>D705*'Emission Factors'!$C$65*0.001</f>
        <v>0</v>
      </c>
      <c r="F705" s="753">
        <f>E705*'Emission Factors'!$D$65*0.001</f>
        <v>0</v>
      </c>
      <c r="G705" s="753">
        <f>F705*'Emission Factors'!$E$65*0.001</f>
        <v>0</v>
      </c>
      <c r="H705" s="754">
        <f t="shared" si="88"/>
        <v>0</v>
      </c>
      <c r="I705" s="755">
        <f>D705*'Emission Factors'!$G$65*0.001</f>
        <v>0</v>
      </c>
    </row>
    <row r="706" spans="1:18">
      <c r="A706" s="751"/>
      <c r="B706" s="768"/>
      <c r="C706" s="753">
        <f>(B706/'Emission Factors'!$F$88)/1000</f>
        <v>0</v>
      </c>
      <c r="D706" s="753">
        <f>'Emission Factors'!$B$65*C706</f>
        <v>0</v>
      </c>
      <c r="E706" s="753">
        <f>D706*'Emission Factors'!$C$65*0.001</f>
        <v>0</v>
      </c>
      <c r="F706" s="753">
        <f>E706*'Emission Factors'!$D$65*0.001</f>
        <v>0</v>
      </c>
      <c r="G706" s="753">
        <f>F706*'Emission Factors'!$E$65*0.001</f>
        <v>0</v>
      </c>
      <c r="H706" s="754">
        <f t="shared" si="88"/>
        <v>0</v>
      </c>
      <c r="I706" s="755">
        <f>D706*'Emission Factors'!$G$65*0.001</f>
        <v>0</v>
      </c>
    </row>
    <row r="707" spans="1:18">
      <c r="A707" s="751"/>
      <c r="B707" s="768"/>
      <c r="C707" s="753">
        <f>(B707/'Emission Factors'!$F$88)/1000</f>
        <v>0</v>
      </c>
      <c r="D707" s="753">
        <f>'Emission Factors'!$B$65*C707</f>
        <v>0</v>
      </c>
      <c r="E707" s="753">
        <f>D707*'Emission Factors'!$C$65*0.001</f>
        <v>0</v>
      </c>
      <c r="F707" s="753">
        <f>E707*'Emission Factors'!$D$65*0.001</f>
        <v>0</v>
      </c>
      <c r="G707" s="753">
        <f>F707*'Emission Factors'!$E$65*0.001</f>
        <v>0</v>
      </c>
      <c r="H707" s="754">
        <f t="shared" si="88"/>
        <v>0</v>
      </c>
      <c r="I707" s="755">
        <f>D707*'Emission Factors'!$G$65*0.001</f>
        <v>0</v>
      </c>
    </row>
    <row r="708" spans="1:18">
      <c r="A708" s="751"/>
      <c r="B708" s="768"/>
      <c r="C708" s="753">
        <f>(B708/'Emission Factors'!$F$88)/1000</f>
        <v>0</v>
      </c>
      <c r="D708" s="753">
        <f>'Emission Factors'!$B$65*C708</f>
        <v>0</v>
      </c>
      <c r="E708" s="753">
        <f>D708*'Emission Factors'!$C$65*0.001</f>
        <v>0</v>
      </c>
      <c r="F708" s="753">
        <f>E708*'Emission Factors'!$D$65*0.001</f>
        <v>0</v>
      </c>
      <c r="G708" s="753">
        <f>F708*'Emission Factors'!$E$65*0.001</f>
        <v>0</v>
      </c>
      <c r="H708" s="754">
        <f t="shared" si="88"/>
        <v>0</v>
      </c>
      <c r="I708" s="755">
        <f>D708*'Emission Factors'!$G$65*0.001</f>
        <v>0</v>
      </c>
    </row>
    <row r="709" spans="1:18">
      <c r="A709" s="751"/>
      <c r="B709" s="768"/>
      <c r="C709" s="753">
        <f>(B709/'Emission Factors'!$F$88)/1000</f>
        <v>0</v>
      </c>
      <c r="D709" s="753">
        <f>'Emission Factors'!$B$65*C709</f>
        <v>0</v>
      </c>
      <c r="E709" s="753">
        <f>D709*'Emission Factors'!$C$65*0.001</f>
        <v>0</v>
      </c>
      <c r="F709" s="753">
        <f>E709*'Emission Factors'!$D$65*0.001</f>
        <v>0</v>
      </c>
      <c r="G709" s="753">
        <f>F709*'Emission Factors'!$E$65*0.001</f>
        <v>0</v>
      </c>
      <c r="H709" s="754">
        <f t="shared" si="88"/>
        <v>0</v>
      </c>
      <c r="I709" s="755">
        <f>D709*'Emission Factors'!$G$65*0.001</f>
        <v>0</v>
      </c>
    </row>
    <row r="710" spans="1:18">
      <c r="A710" s="751"/>
      <c r="B710" s="768"/>
      <c r="C710" s="753">
        <f>(B710/'Emission Factors'!$F$88)/1000</f>
        <v>0</v>
      </c>
      <c r="D710" s="753">
        <f>'Emission Factors'!$B$65*C710</f>
        <v>0</v>
      </c>
      <c r="E710" s="753">
        <f>D710*'Emission Factors'!$C$65*0.001</f>
        <v>0</v>
      </c>
      <c r="F710" s="753">
        <f>E710*'Emission Factors'!$D$65*0.001</f>
        <v>0</v>
      </c>
      <c r="G710" s="753">
        <f>F710*'Emission Factors'!$E$65*0.001</f>
        <v>0</v>
      </c>
      <c r="H710" s="754">
        <f t="shared" si="88"/>
        <v>0</v>
      </c>
      <c r="I710" s="755">
        <f>D710*'Emission Factors'!$G$65*0.001</f>
        <v>0</v>
      </c>
    </row>
    <row r="711" spans="1:18" ht="16.5" thickBot="1">
      <c r="A711" s="751"/>
      <c r="B711" s="768"/>
      <c r="C711" s="753">
        <f>(B711/'Emission Factors'!$F$88)/1000</f>
        <v>0</v>
      </c>
      <c r="D711" s="753">
        <f>'Emission Factors'!$B$65*C711</f>
        <v>0</v>
      </c>
      <c r="E711" s="753">
        <f>D711*'Emission Factors'!$C$65*0.001</f>
        <v>0</v>
      </c>
      <c r="F711" s="753">
        <f>E711*'Emission Factors'!$D$65*0.001</f>
        <v>0</v>
      </c>
      <c r="G711" s="753">
        <f>F711*'Emission Factors'!$E$65*0.001</f>
        <v>0</v>
      </c>
      <c r="H711" s="771">
        <f t="shared" si="88"/>
        <v>0</v>
      </c>
      <c r="I711" s="755">
        <f>D711*'Emission Factors'!$G$65*0.001</f>
        <v>0</v>
      </c>
    </row>
    <row r="712" spans="1:18" ht="24" thickBot="1">
      <c r="A712" s="769"/>
      <c r="D712" s="759"/>
      <c r="E712" s="742"/>
      <c r="F712" s="759"/>
      <c r="G712" s="760" t="s">
        <v>434</v>
      </c>
      <c r="H712" s="761">
        <f>SUM(H702:H711)</f>
        <v>0</v>
      </c>
      <c r="I712" s="762">
        <f>SUM(I702:I711)</f>
        <v>0</v>
      </c>
      <c r="J712" s="742"/>
      <c r="K712" s="742"/>
      <c r="L712" s="742"/>
      <c r="M712" s="742"/>
      <c r="N712" s="742"/>
      <c r="O712" s="759"/>
      <c r="P712" s="743"/>
    </row>
    <row r="713" spans="1:18">
      <c r="A713" s="769" t="s">
        <v>984</v>
      </c>
    </row>
    <row r="715" spans="1:18" s="740" customFormat="1" ht="36">
      <c r="A715" s="2064" t="s">
        <v>985</v>
      </c>
      <c r="B715" s="2065"/>
      <c r="C715" s="2065"/>
      <c r="D715" s="2065"/>
      <c r="E715" s="2065"/>
      <c r="F715" s="2065"/>
      <c r="G715" s="2065"/>
      <c r="H715" s="2065"/>
      <c r="I715" s="2065"/>
      <c r="J715" s="806"/>
    </row>
    <row r="716" spans="1:18" s="743" customFormat="1" ht="23.45" customHeight="1" thickBot="1">
      <c r="A716" s="2004" t="s">
        <v>487</v>
      </c>
      <c r="B716" s="2005"/>
      <c r="C716" s="2006"/>
      <c r="D716" s="2007" t="s">
        <v>427</v>
      </c>
      <c r="E716" s="2008"/>
      <c r="F716" s="741"/>
      <c r="G716" s="742"/>
      <c r="H716" s="742"/>
      <c r="I716" s="742"/>
      <c r="J716" s="742"/>
      <c r="K716" s="742"/>
      <c r="L716" s="742"/>
      <c r="M716" s="742"/>
      <c r="P716" s="766"/>
      <c r="R716" s="767"/>
    </row>
    <row r="717" spans="1:18" ht="18.75">
      <c r="E717" s="744"/>
      <c r="F717" s="744"/>
      <c r="G717" s="744"/>
      <c r="H717" s="745" t="s">
        <v>62</v>
      </c>
      <c r="I717" s="746" t="s">
        <v>92</v>
      </c>
    </row>
    <row r="718" spans="1:18" ht="110.45" customHeight="1">
      <c r="A718" s="747" t="s">
        <v>428</v>
      </c>
      <c r="B718" s="747" t="s">
        <v>488</v>
      </c>
      <c r="C718" s="748" t="s">
        <v>474</v>
      </c>
      <c r="D718" s="748" t="s">
        <v>448</v>
      </c>
      <c r="E718" s="748" t="s">
        <v>420</v>
      </c>
      <c r="F718" s="748" t="s">
        <v>431</v>
      </c>
      <c r="G718" s="748" t="s">
        <v>432</v>
      </c>
      <c r="H718" s="749" t="s">
        <v>420</v>
      </c>
      <c r="I718" s="750" t="s">
        <v>420</v>
      </c>
      <c r="Q718" s="772"/>
    </row>
    <row r="719" spans="1:18">
      <c r="A719" s="751"/>
      <c r="B719" s="770"/>
      <c r="C719" s="753">
        <f>B719/1000</f>
        <v>0</v>
      </c>
      <c r="D719" s="753">
        <f>'Emission Factors'!$B$65*C719</f>
        <v>0</v>
      </c>
      <c r="E719" s="753">
        <f>D719*'Emission Factors'!$C$65*0.001</f>
        <v>0</v>
      </c>
      <c r="F719" s="753">
        <f>E719*'Emission Factors'!$D$65*0.001</f>
        <v>0</v>
      </c>
      <c r="G719" s="753">
        <f>F719*'Emission Factors'!$E$65*0.001</f>
        <v>0</v>
      </c>
      <c r="H719" s="754">
        <f t="shared" ref="H719:H728" si="89">E719+F719+G719</f>
        <v>0</v>
      </c>
      <c r="I719" s="755">
        <f>D719*'Emission Factors'!$G$65*0.001</f>
        <v>0</v>
      </c>
    </row>
    <row r="720" spans="1:18">
      <c r="A720" s="751"/>
      <c r="B720" s="770"/>
      <c r="C720" s="753">
        <f t="shared" ref="C720:C727" si="90">B720/1000</f>
        <v>0</v>
      </c>
      <c r="D720" s="753">
        <f>'Emission Factors'!$B$65*C720</f>
        <v>0</v>
      </c>
      <c r="E720" s="753">
        <f>D720*'Emission Factors'!$C$65*0.001</f>
        <v>0</v>
      </c>
      <c r="F720" s="753">
        <f>E720*'Emission Factors'!$D$65*0.001</f>
        <v>0</v>
      </c>
      <c r="G720" s="753">
        <f>F720*'Emission Factors'!$E$65*0.001</f>
        <v>0</v>
      </c>
      <c r="H720" s="754">
        <f t="shared" si="89"/>
        <v>0</v>
      </c>
      <c r="I720" s="755">
        <f>D720*'Emission Factors'!$G$65*0.001</f>
        <v>0</v>
      </c>
    </row>
    <row r="721" spans="1:16">
      <c r="A721" s="751"/>
      <c r="B721" s="770"/>
      <c r="C721" s="753">
        <f t="shared" si="90"/>
        <v>0</v>
      </c>
      <c r="D721" s="753">
        <f>'Emission Factors'!$B$65*C721</f>
        <v>0</v>
      </c>
      <c r="E721" s="753">
        <f>D721*'Emission Factors'!$C$65*0.001</f>
        <v>0</v>
      </c>
      <c r="F721" s="753">
        <f>E721*'Emission Factors'!$D$65*0.001</f>
        <v>0</v>
      </c>
      <c r="G721" s="753">
        <f>F721*'Emission Factors'!$E$65*0.001</f>
        <v>0</v>
      </c>
      <c r="H721" s="754">
        <f t="shared" si="89"/>
        <v>0</v>
      </c>
      <c r="I721" s="755">
        <f>D721*'Emission Factors'!$G$65*0.001</f>
        <v>0</v>
      </c>
    </row>
    <row r="722" spans="1:16">
      <c r="A722" s="751"/>
      <c r="B722" s="770"/>
      <c r="C722" s="753">
        <f t="shared" si="90"/>
        <v>0</v>
      </c>
      <c r="D722" s="753">
        <f>'Emission Factors'!$B$65*C722</f>
        <v>0</v>
      </c>
      <c r="E722" s="753">
        <f>D722*'Emission Factors'!$C$65*0.001</f>
        <v>0</v>
      </c>
      <c r="F722" s="753">
        <f>E722*'Emission Factors'!$D$65*0.001</f>
        <v>0</v>
      </c>
      <c r="G722" s="753">
        <f>F722*'Emission Factors'!$E$65*0.001</f>
        <v>0</v>
      </c>
      <c r="H722" s="754">
        <f t="shared" si="89"/>
        <v>0</v>
      </c>
      <c r="I722" s="755">
        <f>D722*'Emission Factors'!$G$65*0.001</f>
        <v>0</v>
      </c>
    </row>
    <row r="723" spans="1:16">
      <c r="A723" s="751"/>
      <c r="B723" s="770"/>
      <c r="C723" s="753">
        <f t="shared" si="90"/>
        <v>0</v>
      </c>
      <c r="D723" s="753">
        <f>'Emission Factors'!$B$65*C723</f>
        <v>0</v>
      </c>
      <c r="E723" s="753">
        <f>D723*'Emission Factors'!$C$65*0.001</f>
        <v>0</v>
      </c>
      <c r="F723" s="753">
        <f>E723*'Emission Factors'!$D$65*0.001</f>
        <v>0</v>
      </c>
      <c r="G723" s="753">
        <f>F723*'Emission Factors'!$E$65*0.001</f>
        <v>0</v>
      </c>
      <c r="H723" s="754">
        <f t="shared" si="89"/>
        <v>0</v>
      </c>
      <c r="I723" s="755">
        <f>D723*'Emission Factors'!$G$65*0.001</f>
        <v>0</v>
      </c>
    </row>
    <row r="724" spans="1:16">
      <c r="A724" s="751"/>
      <c r="B724" s="770"/>
      <c r="C724" s="753">
        <f t="shared" si="90"/>
        <v>0</v>
      </c>
      <c r="D724" s="753">
        <f>'Emission Factors'!$B$65*C724</f>
        <v>0</v>
      </c>
      <c r="E724" s="753">
        <f>D724*'Emission Factors'!$C$65*0.001</f>
        <v>0</v>
      </c>
      <c r="F724" s="753">
        <f>E724*'Emission Factors'!$D$65*0.001</f>
        <v>0</v>
      </c>
      <c r="G724" s="753">
        <f>F724*'Emission Factors'!$E$65*0.001</f>
        <v>0</v>
      </c>
      <c r="H724" s="754">
        <f t="shared" si="89"/>
        <v>0</v>
      </c>
      <c r="I724" s="755">
        <f>D724*'Emission Factors'!$G$65*0.001</f>
        <v>0</v>
      </c>
    </row>
    <row r="725" spans="1:16">
      <c r="A725" s="751"/>
      <c r="B725" s="770"/>
      <c r="C725" s="753">
        <f t="shared" si="90"/>
        <v>0</v>
      </c>
      <c r="D725" s="753">
        <f>'Emission Factors'!$B$65*C725</f>
        <v>0</v>
      </c>
      <c r="E725" s="753">
        <f>D725*'Emission Factors'!$C$65*0.001</f>
        <v>0</v>
      </c>
      <c r="F725" s="753">
        <f>E725*'Emission Factors'!$D$65*0.001</f>
        <v>0</v>
      </c>
      <c r="G725" s="753">
        <f>F725*'Emission Factors'!$E$65*0.001</f>
        <v>0</v>
      </c>
      <c r="H725" s="754">
        <f t="shared" si="89"/>
        <v>0</v>
      </c>
      <c r="I725" s="755">
        <f>D725*'Emission Factors'!$G$65*0.001</f>
        <v>0</v>
      </c>
    </row>
    <row r="726" spans="1:16">
      <c r="A726" s="751"/>
      <c r="B726" s="770"/>
      <c r="C726" s="753">
        <f t="shared" si="90"/>
        <v>0</v>
      </c>
      <c r="D726" s="753">
        <f>'Emission Factors'!$B$65*C726</f>
        <v>0</v>
      </c>
      <c r="E726" s="753">
        <f>D726*'Emission Factors'!$C$65*0.001</f>
        <v>0</v>
      </c>
      <c r="F726" s="753">
        <f>E726*'Emission Factors'!$D$65*0.001</f>
        <v>0</v>
      </c>
      <c r="G726" s="753">
        <f>F726*'Emission Factors'!$E$65*0.001</f>
        <v>0</v>
      </c>
      <c r="H726" s="754">
        <f t="shared" si="89"/>
        <v>0</v>
      </c>
      <c r="I726" s="755">
        <f>D726*'Emission Factors'!$G$65*0.001</f>
        <v>0</v>
      </c>
    </row>
    <row r="727" spans="1:16">
      <c r="A727" s="751"/>
      <c r="B727" s="770"/>
      <c r="C727" s="753">
        <f t="shared" si="90"/>
        <v>0</v>
      </c>
      <c r="D727" s="753">
        <f>'Emission Factors'!$B$65*C727</f>
        <v>0</v>
      </c>
      <c r="E727" s="753">
        <f>D727*'Emission Factors'!$C$65*0.001</f>
        <v>0</v>
      </c>
      <c r="F727" s="753">
        <f>E727*'Emission Factors'!$D$65*0.001</f>
        <v>0</v>
      </c>
      <c r="G727" s="753">
        <f>F727*'Emission Factors'!$E$65*0.001</f>
        <v>0</v>
      </c>
      <c r="H727" s="754">
        <f t="shared" si="89"/>
        <v>0</v>
      </c>
      <c r="I727" s="755">
        <f>D727*'Emission Factors'!$G$65*0.001</f>
        <v>0</v>
      </c>
    </row>
    <row r="728" spans="1:16" ht="16.5" thickBot="1">
      <c r="A728" s="751"/>
      <c r="B728" s="770"/>
      <c r="C728" s="753">
        <f>B728/1000</f>
        <v>0</v>
      </c>
      <c r="D728" s="753">
        <f>'Emission Factors'!$B$65*C728</f>
        <v>0</v>
      </c>
      <c r="E728" s="753">
        <f>D728*'Emission Factors'!$C$65*0.001</f>
        <v>0</v>
      </c>
      <c r="F728" s="753">
        <f>E728*'Emission Factors'!$D$65*0.001</f>
        <v>0</v>
      </c>
      <c r="G728" s="753">
        <f>F728*'Emission Factors'!$E$65*0.001</f>
        <v>0</v>
      </c>
      <c r="H728" s="771">
        <f t="shared" si="89"/>
        <v>0</v>
      </c>
      <c r="I728" s="755">
        <f>D728*'Emission Factors'!$G$65*0.001</f>
        <v>0</v>
      </c>
    </row>
    <row r="729" spans="1:16" s="743" customFormat="1" ht="24" thickBot="1">
      <c r="A729" s="758" t="s">
        <v>435</v>
      </c>
      <c r="B729" s="759"/>
      <c r="C729" s="759"/>
      <c r="D729" s="759"/>
      <c r="E729" s="742"/>
      <c r="F729" s="759"/>
      <c r="G729" s="760" t="s">
        <v>434</v>
      </c>
      <c r="H729" s="761">
        <f>SUM(H719:H728)</f>
        <v>0</v>
      </c>
      <c r="I729" s="762">
        <f>SUM(I719:I728)</f>
        <v>0</v>
      </c>
      <c r="J729" s="742"/>
      <c r="K729" s="742"/>
      <c r="L729" s="742"/>
      <c r="M729" s="742"/>
      <c r="N729" s="742"/>
      <c r="O729" s="759"/>
    </row>
    <row r="730" spans="1:16" s="743" customFormat="1" ht="23.45" customHeight="1" thickBot="1">
      <c r="A730" s="2004" t="s">
        <v>986</v>
      </c>
      <c r="B730" s="2005"/>
      <c r="C730" s="2006"/>
      <c r="D730" s="2007" t="s">
        <v>427</v>
      </c>
      <c r="E730" s="2008"/>
      <c r="F730" s="741"/>
      <c r="G730" s="742"/>
      <c r="H730" s="742"/>
      <c r="I730" s="742"/>
      <c r="J730" s="742"/>
      <c r="K730" s="742"/>
      <c r="L730" s="742"/>
      <c r="M730" s="742"/>
      <c r="P730" s="766"/>
    </row>
    <row r="731" spans="1:16" ht="18.75">
      <c r="E731" s="744"/>
      <c r="F731" s="744"/>
      <c r="G731" s="744"/>
      <c r="H731" s="745" t="s">
        <v>62</v>
      </c>
      <c r="I731" s="746" t="s">
        <v>92</v>
      </c>
    </row>
    <row r="732" spans="1:16" ht="110.45" customHeight="1">
      <c r="A732" s="747" t="s">
        <v>428</v>
      </c>
      <c r="B732" s="747" t="s">
        <v>979</v>
      </c>
      <c r="C732" s="747" t="s">
        <v>488</v>
      </c>
      <c r="D732" s="748" t="s">
        <v>448</v>
      </c>
      <c r="E732" s="748" t="s">
        <v>420</v>
      </c>
      <c r="F732" s="748" t="s">
        <v>431</v>
      </c>
      <c r="G732" s="748" t="s">
        <v>432</v>
      </c>
      <c r="H732" s="749" t="s">
        <v>420</v>
      </c>
      <c r="I732" s="750" t="s">
        <v>420</v>
      </c>
    </row>
    <row r="733" spans="1:16">
      <c r="A733" s="751"/>
      <c r="B733" s="763"/>
      <c r="C733" s="764">
        <f>(B733/'Emission Factors'!$B$87)/1000</f>
        <v>0</v>
      </c>
      <c r="D733" s="753">
        <f>'Emission Factors'!$B$65*C733</f>
        <v>0</v>
      </c>
      <c r="E733" s="753">
        <f>D733*'Emission Factors'!$C$65*0.001</f>
        <v>0</v>
      </c>
      <c r="F733" s="753">
        <f>E733*'Emission Factors'!$D$65*0.001</f>
        <v>0</v>
      </c>
      <c r="G733" s="753">
        <f>F733*'Emission Factors'!$E$65*0.001</f>
        <v>0</v>
      </c>
      <c r="H733" s="754">
        <f t="shared" ref="H733:H742" si="91">E733+F733+G733</f>
        <v>0</v>
      </c>
      <c r="I733" s="755">
        <f>D733*'Emission Factors'!$G$65*0.001</f>
        <v>0</v>
      </c>
    </row>
    <row r="734" spans="1:16">
      <c r="A734" s="751"/>
      <c r="B734" s="763"/>
      <c r="C734" s="764">
        <f>(B734/'Emission Factors'!$B$87)/1000</f>
        <v>0</v>
      </c>
      <c r="D734" s="753">
        <f>'Emission Factors'!$B$65*C734</f>
        <v>0</v>
      </c>
      <c r="E734" s="753">
        <f>D734*'Emission Factors'!$C$65*0.001</f>
        <v>0</v>
      </c>
      <c r="F734" s="753">
        <f>E734*'Emission Factors'!$D$65*0.001</f>
        <v>0</v>
      </c>
      <c r="G734" s="753">
        <f>F734*'Emission Factors'!$E$65*0.001</f>
        <v>0</v>
      </c>
      <c r="H734" s="754">
        <f t="shared" si="91"/>
        <v>0</v>
      </c>
      <c r="I734" s="755">
        <f>D734*'Emission Factors'!$G$65*0.001</f>
        <v>0</v>
      </c>
    </row>
    <row r="735" spans="1:16">
      <c r="A735" s="751"/>
      <c r="B735" s="763"/>
      <c r="C735" s="764">
        <f>(B735/'Emission Factors'!$B$87)/1000</f>
        <v>0</v>
      </c>
      <c r="D735" s="753">
        <f>'Emission Factors'!$B$65*C735</f>
        <v>0</v>
      </c>
      <c r="E735" s="753">
        <f>D735*'Emission Factors'!$C$65*0.001</f>
        <v>0</v>
      </c>
      <c r="F735" s="753">
        <f>E735*'Emission Factors'!$D$65*0.001</f>
        <v>0</v>
      </c>
      <c r="G735" s="753">
        <f>F735*'Emission Factors'!$E$65*0.001</f>
        <v>0</v>
      </c>
      <c r="H735" s="754">
        <f t="shared" si="91"/>
        <v>0</v>
      </c>
      <c r="I735" s="755">
        <f>D735*'Emission Factors'!$G$65*0.001</f>
        <v>0</v>
      </c>
    </row>
    <row r="736" spans="1:16">
      <c r="A736" s="751"/>
      <c r="B736" s="763"/>
      <c r="C736" s="764">
        <f>(B736/'Emission Factors'!$B$87)/1000</f>
        <v>0</v>
      </c>
      <c r="D736" s="753">
        <f>'Emission Factors'!$B$65*C736</f>
        <v>0</v>
      </c>
      <c r="E736" s="753">
        <f>D736*'Emission Factors'!$C$65*0.001</f>
        <v>0</v>
      </c>
      <c r="F736" s="753">
        <f>E736*'Emission Factors'!$D$65*0.001</f>
        <v>0</v>
      </c>
      <c r="G736" s="753">
        <f>F736*'Emission Factors'!$E$65*0.001</f>
        <v>0</v>
      </c>
      <c r="H736" s="754">
        <f t="shared" si="91"/>
        <v>0</v>
      </c>
      <c r="I736" s="755">
        <f>D736*'Emission Factors'!$G$65*0.001</f>
        <v>0</v>
      </c>
    </row>
    <row r="737" spans="1:17">
      <c r="A737" s="751"/>
      <c r="B737" s="763"/>
      <c r="C737" s="764">
        <f>(B737/'Emission Factors'!$B$87)/1000</f>
        <v>0</v>
      </c>
      <c r="D737" s="753">
        <f>'Emission Factors'!$B$65*C737</f>
        <v>0</v>
      </c>
      <c r="E737" s="753">
        <f>D737*'Emission Factors'!$C$65*0.001</f>
        <v>0</v>
      </c>
      <c r="F737" s="753">
        <f>E737*'Emission Factors'!$D$65*0.001</f>
        <v>0</v>
      </c>
      <c r="G737" s="753">
        <f>F737*'Emission Factors'!$E$65*0.001</f>
        <v>0</v>
      </c>
      <c r="H737" s="754">
        <f t="shared" si="91"/>
        <v>0</v>
      </c>
      <c r="I737" s="755">
        <f>D737*'Emission Factors'!$G$65*0.001</f>
        <v>0</v>
      </c>
    </row>
    <row r="738" spans="1:17">
      <c r="A738" s="751"/>
      <c r="B738" s="763"/>
      <c r="C738" s="764">
        <f>(B738/'Emission Factors'!$B$87)/1000</f>
        <v>0</v>
      </c>
      <c r="D738" s="753">
        <f>'Emission Factors'!$B$65*C738</f>
        <v>0</v>
      </c>
      <c r="E738" s="753">
        <f>D738*'Emission Factors'!$C$65*0.001</f>
        <v>0</v>
      </c>
      <c r="F738" s="753">
        <f>E738*'Emission Factors'!$D$65*0.001</f>
        <v>0</v>
      </c>
      <c r="G738" s="753">
        <f>F738*'Emission Factors'!$E$65*0.001</f>
        <v>0</v>
      </c>
      <c r="H738" s="754">
        <f t="shared" si="91"/>
        <v>0</v>
      </c>
      <c r="I738" s="755">
        <f>D738*'Emission Factors'!$G$65*0.001</f>
        <v>0</v>
      </c>
    </row>
    <row r="739" spans="1:17">
      <c r="A739" s="751"/>
      <c r="B739" s="763"/>
      <c r="C739" s="764">
        <f>(B739/'Emission Factors'!$B$87)/1000</f>
        <v>0</v>
      </c>
      <c r="D739" s="753">
        <f>'Emission Factors'!$B$65*C739</f>
        <v>0</v>
      </c>
      <c r="E739" s="753">
        <f>D739*'Emission Factors'!$C$65*0.001</f>
        <v>0</v>
      </c>
      <c r="F739" s="753">
        <f>E739*'Emission Factors'!$D$65*0.001</f>
        <v>0</v>
      </c>
      <c r="G739" s="753">
        <f>F739*'Emission Factors'!$E$65*0.001</f>
        <v>0</v>
      </c>
      <c r="H739" s="754">
        <f t="shared" si="91"/>
        <v>0</v>
      </c>
      <c r="I739" s="755">
        <f>D739*'Emission Factors'!$G$65*0.001</f>
        <v>0</v>
      </c>
    </row>
    <row r="740" spans="1:17">
      <c r="A740" s="751"/>
      <c r="B740" s="763"/>
      <c r="C740" s="764">
        <f>(B740/'Emission Factors'!$B$87)/1000</f>
        <v>0</v>
      </c>
      <c r="D740" s="753">
        <f>'Emission Factors'!$B$65*C740</f>
        <v>0</v>
      </c>
      <c r="E740" s="753">
        <f>D740*'Emission Factors'!$C$65*0.001</f>
        <v>0</v>
      </c>
      <c r="F740" s="753">
        <f>E740*'Emission Factors'!$D$65*0.001</f>
        <v>0</v>
      </c>
      <c r="G740" s="753">
        <f>F740*'Emission Factors'!$E$65*0.001</f>
        <v>0</v>
      </c>
      <c r="H740" s="754">
        <f t="shared" si="91"/>
        <v>0</v>
      </c>
      <c r="I740" s="755">
        <f>D740*'Emission Factors'!$G$65*0.001</f>
        <v>0</v>
      </c>
    </row>
    <row r="741" spans="1:17">
      <c r="A741" s="751"/>
      <c r="B741" s="763"/>
      <c r="C741" s="764">
        <f>(B741/'Emission Factors'!$B$87)/1000</f>
        <v>0</v>
      </c>
      <c r="D741" s="753">
        <f>'Emission Factors'!$B$65*C741</f>
        <v>0</v>
      </c>
      <c r="E741" s="753">
        <f>D741*'Emission Factors'!$C$65*0.001</f>
        <v>0</v>
      </c>
      <c r="F741" s="753">
        <f>E741*'Emission Factors'!$D$65*0.001</f>
        <v>0</v>
      </c>
      <c r="G741" s="753">
        <f>F741*'Emission Factors'!$E$65*0.001</f>
        <v>0</v>
      </c>
      <c r="H741" s="754">
        <f t="shared" si="91"/>
        <v>0</v>
      </c>
      <c r="I741" s="755">
        <f>D741*'Emission Factors'!$G$65*0.001</f>
        <v>0</v>
      </c>
    </row>
    <row r="742" spans="1:17" ht="16.5" thickBot="1">
      <c r="A742" s="751"/>
      <c r="B742" s="763"/>
      <c r="C742" s="764">
        <f>(B742/'Emission Factors'!$B$87)/1000</f>
        <v>0</v>
      </c>
      <c r="D742" s="753">
        <f>'Emission Factors'!$B$65*C742</f>
        <v>0</v>
      </c>
      <c r="E742" s="753">
        <f>D742*'Emission Factors'!$C$65*0.001</f>
        <v>0</v>
      </c>
      <c r="F742" s="753">
        <f>E742*'Emission Factors'!$D$65*0.001</f>
        <v>0</v>
      </c>
      <c r="G742" s="753">
        <f>F742*'Emission Factors'!$E$65*0.001</f>
        <v>0</v>
      </c>
      <c r="H742" s="771">
        <f t="shared" si="91"/>
        <v>0</v>
      </c>
      <c r="I742" s="755">
        <f>D742*'Emission Factors'!$G$65*0.001</f>
        <v>0</v>
      </c>
    </row>
    <row r="743" spans="1:17" ht="24" thickBot="1">
      <c r="A743" s="769"/>
      <c r="D743" s="759"/>
      <c r="E743" s="742"/>
      <c r="F743" s="759"/>
      <c r="G743" s="760" t="s">
        <v>434</v>
      </c>
      <c r="H743" s="761">
        <f>SUM(H733:H742)</f>
        <v>0</v>
      </c>
      <c r="I743" s="762">
        <f>SUM(I733:I742)</f>
        <v>0</v>
      </c>
      <c r="J743" s="742"/>
      <c r="K743" s="742"/>
      <c r="L743" s="742"/>
      <c r="M743" s="742"/>
      <c r="N743" s="742"/>
      <c r="O743" s="759"/>
      <c r="P743" s="743"/>
    </row>
    <row r="745" spans="1:17" s="740" customFormat="1" ht="36">
      <c r="A745" s="2064" t="s">
        <v>987</v>
      </c>
      <c r="B745" s="2065"/>
      <c r="C745" s="2065"/>
      <c r="D745" s="2065"/>
      <c r="E745" s="2065"/>
      <c r="F745" s="2065"/>
      <c r="G745" s="2065"/>
      <c r="H745" s="2065"/>
      <c r="I745" s="2065"/>
      <c r="J745" s="806"/>
    </row>
    <row r="746" spans="1:17" s="743" customFormat="1" ht="24" thickBot="1">
      <c r="A746" s="2004" t="s">
        <v>444</v>
      </c>
      <c r="B746" s="2005"/>
      <c r="C746" s="2006"/>
      <c r="D746" s="1991" t="s">
        <v>427</v>
      </c>
      <c r="E746" s="1992"/>
      <c r="F746" s="759"/>
      <c r="G746" s="742"/>
      <c r="H746" s="742"/>
      <c r="I746" s="742"/>
      <c r="J746" s="742"/>
      <c r="K746" s="742"/>
      <c r="L746" s="742"/>
      <c r="M746" s="742"/>
      <c r="N746" s="742"/>
      <c r="O746" s="767"/>
      <c r="Q746" s="767"/>
    </row>
    <row r="747" spans="1:17" ht="18.75">
      <c r="E747" s="744"/>
      <c r="F747" s="744"/>
      <c r="G747" s="744"/>
      <c r="H747" s="745" t="s">
        <v>62</v>
      </c>
      <c r="I747" s="746" t="s">
        <v>92</v>
      </c>
    </row>
    <row r="748" spans="1:17" ht="31.5">
      <c r="A748" s="773" t="s">
        <v>428</v>
      </c>
      <c r="B748" s="773" t="s">
        <v>491</v>
      </c>
      <c r="C748" s="748" t="s">
        <v>492</v>
      </c>
      <c r="D748" s="748" t="s">
        <v>448</v>
      </c>
      <c r="E748" s="748" t="s">
        <v>420</v>
      </c>
      <c r="F748" s="748" t="s">
        <v>431</v>
      </c>
      <c r="G748" s="748" t="s">
        <v>432</v>
      </c>
      <c r="H748" s="749" t="s">
        <v>420</v>
      </c>
      <c r="I748" s="750" t="s">
        <v>420</v>
      </c>
    </row>
    <row r="749" spans="1:17">
      <c r="A749" s="774"/>
      <c r="B749" s="770"/>
      <c r="C749" s="753">
        <f>B749/1000</f>
        <v>0</v>
      </c>
      <c r="D749" s="753">
        <f>'Emission Factors'!$B$69*C749</f>
        <v>0</v>
      </c>
      <c r="E749" s="753">
        <f>'Emission Factors'!$C$69*D749</f>
        <v>0</v>
      </c>
      <c r="F749" s="753">
        <f>'Emission Factors'!$D$69*D749</f>
        <v>0</v>
      </c>
      <c r="G749" s="753">
        <f>'Emission Factors'!$E$69*D749</f>
        <v>0</v>
      </c>
      <c r="H749" s="754">
        <f t="shared" ref="H749:H758" si="92">E749+F749+G749</f>
        <v>0</v>
      </c>
      <c r="I749" s="755">
        <f>D749*'Emission Factors'!$G$69*0.001</f>
        <v>0</v>
      </c>
    </row>
    <row r="750" spans="1:17">
      <c r="A750" s="774"/>
      <c r="B750" s="770"/>
      <c r="C750" s="753">
        <f t="shared" ref="C750:C758" si="93">B750/1000</f>
        <v>0</v>
      </c>
      <c r="D750" s="753">
        <f>'Emission Factors'!$B$69*C750</f>
        <v>0</v>
      </c>
      <c r="E750" s="753">
        <f>'Emission Factors'!$C$69*D750</f>
        <v>0</v>
      </c>
      <c r="F750" s="753">
        <f>'Emission Factors'!$D$69*D750</f>
        <v>0</v>
      </c>
      <c r="G750" s="753">
        <f>'Emission Factors'!$E$69*D750</f>
        <v>0</v>
      </c>
      <c r="H750" s="754">
        <f t="shared" si="92"/>
        <v>0</v>
      </c>
      <c r="I750" s="755">
        <f>D750*'Emission Factors'!$G$69*0.001</f>
        <v>0</v>
      </c>
    </row>
    <row r="751" spans="1:17">
      <c r="A751" s="774"/>
      <c r="B751" s="770"/>
      <c r="C751" s="753">
        <f t="shared" si="93"/>
        <v>0</v>
      </c>
      <c r="D751" s="753">
        <f>'Emission Factors'!$B$69*C751</f>
        <v>0</v>
      </c>
      <c r="E751" s="753">
        <f>'Emission Factors'!$C$69*D751</f>
        <v>0</v>
      </c>
      <c r="F751" s="753">
        <f>'Emission Factors'!$D$69*D751</f>
        <v>0</v>
      </c>
      <c r="G751" s="753">
        <f>'Emission Factors'!$E$69*D751</f>
        <v>0</v>
      </c>
      <c r="H751" s="754">
        <f t="shared" si="92"/>
        <v>0</v>
      </c>
      <c r="I751" s="755">
        <f>D751*'Emission Factors'!$G$69*0.001</f>
        <v>0</v>
      </c>
    </row>
    <row r="752" spans="1:17">
      <c r="A752" s="774"/>
      <c r="B752" s="770"/>
      <c r="C752" s="753">
        <f t="shared" si="93"/>
        <v>0</v>
      </c>
      <c r="D752" s="753">
        <f>'Emission Factors'!$B$69*C752</f>
        <v>0</v>
      </c>
      <c r="E752" s="753">
        <f>'Emission Factors'!$C$69*D752</f>
        <v>0</v>
      </c>
      <c r="F752" s="753">
        <f>'Emission Factors'!$D$69*D752</f>
        <v>0</v>
      </c>
      <c r="G752" s="753">
        <f>'Emission Factors'!$E$69*D752</f>
        <v>0</v>
      </c>
      <c r="H752" s="754">
        <f t="shared" si="92"/>
        <v>0</v>
      </c>
      <c r="I752" s="755">
        <f>D752*'Emission Factors'!$G$69*0.001</f>
        <v>0</v>
      </c>
    </row>
    <row r="753" spans="1:9">
      <c r="A753" s="774"/>
      <c r="B753" s="770"/>
      <c r="C753" s="753">
        <f t="shared" si="93"/>
        <v>0</v>
      </c>
      <c r="D753" s="753">
        <f>'Emission Factors'!$B$69*C753</f>
        <v>0</v>
      </c>
      <c r="E753" s="753">
        <f>'Emission Factors'!$C$69*D753</f>
        <v>0</v>
      </c>
      <c r="F753" s="753">
        <f>'Emission Factors'!$D$69*D753</f>
        <v>0</v>
      </c>
      <c r="G753" s="753">
        <f>'Emission Factors'!$E$69*D753</f>
        <v>0</v>
      </c>
      <c r="H753" s="754">
        <f t="shared" si="92"/>
        <v>0</v>
      </c>
      <c r="I753" s="755">
        <f>D753*'Emission Factors'!$G$69*0.001</f>
        <v>0</v>
      </c>
    </row>
    <row r="754" spans="1:9">
      <c r="A754" s="774"/>
      <c r="B754" s="770"/>
      <c r="C754" s="753">
        <f t="shared" si="93"/>
        <v>0</v>
      </c>
      <c r="D754" s="753">
        <f>'Emission Factors'!$B$69*C754</f>
        <v>0</v>
      </c>
      <c r="E754" s="753">
        <f>'Emission Factors'!$C$69*D754</f>
        <v>0</v>
      </c>
      <c r="F754" s="753">
        <f>'Emission Factors'!$D$69*D754</f>
        <v>0</v>
      </c>
      <c r="G754" s="753">
        <f>'Emission Factors'!$E$69*D754</f>
        <v>0</v>
      </c>
      <c r="H754" s="754">
        <f t="shared" si="92"/>
        <v>0</v>
      </c>
      <c r="I754" s="755">
        <f>D754*'Emission Factors'!$G$69*0.001</f>
        <v>0</v>
      </c>
    </row>
    <row r="755" spans="1:9">
      <c r="A755" s="774"/>
      <c r="B755" s="770"/>
      <c r="C755" s="753">
        <f t="shared" si="93"/>
        <v>0</v>
      </c>
      <c r="D755" s="753">
        <f>'Emission Factors'!$B$69*C755</f>
        <v>0</v>
      </c>
      <c r="E755" s="753">
        <f>'Emission Factors'!$C$69*D755</f>
        <v>0</v>
      </c>
      <c r="F755" s="753">
        <f>'Emission Factors'!$D$69*D755</f>
        <v>0</v>
      </c>
      <c r="G755" s="753">
        <f>'Emission Factors'!$E$69*D755</f>
        <v>0</v>
      </c>
      <c r="H755" s="754">
        <f t="shared" si="92"/>
        <v>0</v>
      </c>
      <c r="I755" s="755">
        <f>D755*'Emission Factors'!$G$69*0.001</f>
        <v>0</v>
      </c>
    </row>
    <row r="756" spans="1:9">
      <c r="A756" s="774"/>
      <c r="B756" s="770"/>
      <c r="C756" s="753">
        <f t="shared" si="93"/>
        <v>0</v>
      </c>
      <c r="D756" s="753">
        <f>'Emission Factors'!$B$69*C756</f>
        <v>0</v>
      </c>
      <c r="E756" s="753">
        <f>'Emission Factors'!$C$69*D756</f>
        <v>0</v>
      </c>
      <c r="F756" s="753">
        <f>'Emission Factors'!$D$69*D756</f>
        <v>0</v>
      </c>
      <c r="G756" s="753">
        <f>'Emission Factors'!$E$69*D756</f>
        <v>0</v>
      </c>
      <c r="H756" s="754">
        <f t="shared" si="92"/>
        <v>0</v>
      </c>
      <c r="I756" s="755">
        <f>D756*'Emission Factors'!$G$69*0.001</f>
        <v>0</v>
      </c>
    </row>
    <row r="757" spans="1:9">
      <c r="A757" s="774"/>
      <c r="B757" s="770"/>
      <c r="C757" s="753">
        <f t="shared" si="93"/>
        <v>0</v>
      </c>
      <c r="D757" s="753">
        <f>'Emission Factors'!$B$69*C757</f>
        <v>0</v>
      </c>
      <c r="E757" s="753">
        <f>'Emission Factors'!$C$69*D757</f>
        <v>0</v>
      </c>
      <c r="F757" s="753">
        <f>'Emission Factors'!$D$69*D757</f>
        <v>0</v>
      </c>
      <c r="G757" s="753">
        <f>'Emission Factors'!$E$69*D757</f>
        <v>0</v>
      </c>
      <c r="H757" s="754">
        <f t="shared" si="92"/>
        <v>0</v>
      </c>
      <c r="I757" s="755">
        <f>D757*'Emission Factors'!$G$69*0.001</f>
        <v>0</v>
      </c>
    </row>
    <row r="758" spans="1:9" ht="16.5" thickBot="1">
      <c r="A758" s="774"/>
      <c r="B758" s="770"/>
      <c r="C758" s="753">
        <f t="shared" si="93"/>
        <v>0</v>
      </c>
      <c r="D758" s="753">
        <f>'Emission Factors'!$B$69*C758</f>
        <v>0</v>
      </c>
      <c r="E758" s="753">
        <f>'Emission Factors'!$C$69*D758</f>
        <v>0</v>
      </c>
      <c r="F758" s="753">
        <f>'Emission Factors'!$D$69*D758</f>
        <v>0</v>
      </c>
      <c r="G758" s="753">
        <f>'Emission Factors'!$E$69*D758</f>
        <v>0</v>
      </c>
      <c r="H758" s="771">
        <f t="shared" si="92"/>
        <v>0</v>
      </c>
      <c r="I758" s="755">
        <f>D758*'Emission Factors'!$G$69*0.001</f>
        <v>0</v>
      </c>
    </row>
    <row r="759" spans="1:9" ht="16.5" thickBot="1">
      <c r="A759" s="775" t="s">
        <v>493</v>
      </c>
      <c r="B759" s="776" t="s">
        <v>440</v>
      </c>
      <c r="G759" s="760" t="s">
        <v>434</v>
      </c>
      <c r="H759" s="761">
        <f>SUM(H749:H758)</f>
        <v>0</v>
      </c>
      <c r="I759" s="762">
        <f>SUM(I749:I758)</f>
        <v>0</v>
      </c>
    </row>
    <row r="760" spans="1:9" s="743" customFormat="1" ht="23.25">
      <c r="A760" s="758" t="s">
        <v>435</v>
      </c>
    </row>
    <row r="761" spans="1:9" s="743" customFormat="1" ht="24" thickBot="1">
      <c r="A761" s="2004" t="s">
        <v>453</v>
      </c>
      <c r="B761" s="2005"/>
      <c r="C761" s="2006"/>
      <c r="D761" s="1991" t="s">
        <v>427</v>
      </c>
      <c r="E761" s="1992"/>
      <c r="F761" s="759"/>
      <c r="G761" s="742"/>
      <c r="H761" s="742"/>
    </row>
    <row r="762" spans="1:9" ht="18.75">
      <c r="E762" s="744"/>
      <c r="F762" s="744"/>
      <c r="G762" s="744"/>
      <c r="H762" s="745" t="s">
        <v>62</v>
      </c>
      <c r="I762" s="746" t="s">
        <v>92</v>
      </c>
    </row>
    <row r="763" spans="1:9" ht="31.5">
      <c r="A763" s="773" t="s">
        <v>428</v>
      </c>
      <c r="B763" s="773" t="s">
        <v>494</v>
      </c>
      <c r="C763" s="773" t="s">
        <v>495</v>
      </c>
      <c r="D763" s="748" t="s">
        <v>448</v>
      </c>
      <c r="E763" s="748" t="s">
        <v>420</v>
      </c>
      <c r="F763" s="748" t="s">
        <v>431</v>
      </c>
      <c r="G763" s="748" t="s">
        <v>432</v>
      </c>
      <c r="H763" s="749" t="s">
        <v>420</v>
      </c>
      <c r="I763" s="750" t="s">
        <v>420</v>
      </c>
    </row>
    <row r="764" spans="1:9">
      <c r="A764" s="774"/>
      <c r="B764" s="763"/>
      <c r="C764" s="753">
        <f>(B764/'Emission Factors'!$B$88)/1000</f>
        <v>0</v>
      </c>
      <c r="D764" s="753">
        <f>'Emission Factors'!$B$69*C764</f>
        <v>0</v>
      </c>
      <c r="E764" s="753">
        <f>'Emission Factors'!$C$69*D764</f>
        <v>0</v>
      </c>
      <c r="F764" s="753">
        <f>'Emission Factors'!$D$69*D764</f>
        <v>0</v>
      </c>
      <c r="G764" s="753">
        <f>'Emission Factors'!$E$69*D764</f>
        <v>0</v>
      </c>
      <c r="H764" s="754">
        <f t="shared" ref="H764:H773" si="94">E764+F764+G764</f>
        <v>0</v>
      </c>
      <c r="I764" s="755">
        <f>D764*'Emission Factors'!$G$69*0.001</f>
        <v>0</v>
      </c>
    </row>
    <row r="765" spans="1:9">
      <c r="A765" s="774"/>
      <c r="B765" s="763"/>
      <c r="C765" s="753">
        <f t="shared" ref="C765:C773" si="95">B765/0.74</f>
        <v>0</v>
      </c>
      <c r="D765" s="753">
        <f>'Emission Factors'!$B$69*C765</f>
        <v>0</v>
      </c>
      <c r="E765" s="753">
        <f>'Emission Factors'!$C$69*D765</f>
        <v>0</v>
      </c>
      <c r="F765" s="753">
        <f>'Emission Factors'!$D$69*D765</f>
        <v>0</v>
      </c>
      <c r="G765" s="753">
        <f>'Emission Factors'!$E$69*D765</f>
        <v>0</v>
      </c>
      <c r="H765" s="754">
        <f t="shared" si="94"/>
        <v>0</v>
      </c>
      <c r="I765" s="755">
        <f>D765*'Emission Factors'!$G$69*0.001</f>
        <v>0</v>
      </c>
    </row>
    <row r="766" spans="1:9">
      <c r="A766" s="774"/>
      <c r="B766" s="763"/>
      <c r="C766" s="753">
        <f t="shared" si="95"/>
        <v>0</v>
      </c>
      <c r="D766" s="753">
        <f>'Emission Factors'!$B$69*C766</f>
        <v>0</v>
      </c>
      <c r="E766" s="753">
        <f>'Emission Factors'!$C$69*D766</f>
        <v>0</v>
      </c>
      <c r="F766" s="753">
        <f>'Emission Factors'!$D$69*D766</f>
        <v>0</v>
      </c>
      <c r="G766" s="753">
        <f>'Emission Factors'!$E$69*D766</f>
        <v>0</v>
      </c>
      <c r="H766" s="754">
        <f t="shared" si="94"/>
        <v>0</v>
      </c>
      <c r="I766" s="755">
        <f>D766*'Emission Factors'!$G$69*0.001</f>
        <v>0</v>
      </c>
    </row>
    <row r="767" spans="1:9">
      <c r="A767" s="774"/>
      <c r="B767" s="763"/>
      <c r="C767" s="753">
        <f t="shared" si="95"/>
        <v>0</v>
      </c>
      <c r="D767" s="753">
        <f>'Emission Factors'!$B$69*C767</f>
        <v>0</v>
      </c>
      <c r="E767" s="753">
        <f>'Emission Factors'!$C$69*D767</f>
        <v>0</v>
      </c>
      <c r="F767" s="753">
        <f>'Emission Factors'!$D$69*D767</f>
        <v>0</v>
      </c>
      <c r="G767" s="753">
        <f>'Emission Factors'!$E$69*D767</f>
        <v>0</v>
      </c>
      <c r="H767" s="754">
        <f t="shared" si="94"/>
        <v>0</v>
      </c>
      <c r="I767" s="755">
        <f>D767*'Emission Factors'!$G$69*0.001</f>
        <v>0</v>
      </c>
    </row>
    <row r="768" spans="1:9">
      <c r="A768" s="774"/>
      <c r="B768" s="763"/>
      <c r="C768" s="753">
        <f t="shared" si="95"/>
        <v>0</v>
      </c>
      <c r="D768" s="753">
        <f>'Emission Factors'!$B$69*C768</f>
        <v>0</v>
      </c>
      <c r="E768" s="753">
        <f>'Emission Factors'!$C$69*D768</f>
        <v>0</v>
      </c>
      <c r="F768" s="753">
        <f>'Emission Factors'!$D$69*D768</f>
        <v>0</v>
      </c>
      <c r="G768" s="753">
        <f>'Emission Factors'!$E$69*D768</f>
        <v>0</v>
      </c>
      <c r="H768" s="754">
        <f t="shared" si="94"/>
        <v>0</v>
      </c>
      <c r="I768" s="755">
        <f>D768*'Emission Factors'!$G$69*0.001</f>
        <v>0</v>
      </c>
    </row>
    <row r="769" spans="1:17">
      <c r="A769" s="774"/>
      <c r="B769" s="763"/>
      <c r="C769" s="753">
        <f t="shared" si="95"/>
        <v>0</v>
      </c>
      <c r="D769" s="753">
        <f>'Emission Factors'!$B$69*C769</f>
        <v>0</v>
      </c>
      <c r="E769" s="753">
        <f>'Emission Factors'!$C$69*D769</f>
        <v>0</v>
      </c>
      <c r="F769" s="753">
        <f>'Emission Factors'!$D$69*D769</f>
        <v>0</v>
      </c>
      <c r="G769" s="753">
        <f>'Emission Factors'!$E$69*D769</f>
        <v>0</v>
      </c>
      <c r="H769" s="754">
        <f t="shared" si="94"/>
        <v>0</v>
      </c>
      <c r="I769" s="755">
        <f>D769*'Emission Factors'!$G$69*0.001</f>
        <v>0</v>
      </c>
    </row>
    <row r="770" spans="1:17">
      <c r="A770" s="774"/>
      <c r="B770" s="763"/>
      <c r="C770" s="753">
        <f t="shared" si="95"/>
        <v>0</v>
      </c>
      <c r="D770" s="753">
        <f>'Emission Factors'!$B$69*C770</f>
        <v>0</v>
      </c>
      <c r="E770" s="753">
        <f>'Emission Factors'!$C$69*D770</f>
        <v>0</v>
      </c>
      <c r="F770" s="753">
        <f>'Emission Factors'!$D$69*D770</f>
        <v>0</v>
      </c>
      <c r="G770" s="753">
        <f>'Emission Factors'!$E$69*D770</f>
        <v>0</v>
      </c>
      <c r="H770" s="754">
        <f t="shared" si="94"/>
        <v>0</v>
      </c>
      <c r="I770" s="755">
        <f>D770*'Emission Factors'!$G$69*0.001</f>
        <v>0</v>
      </c>
    </row>
    <row r="771" spans="1:17">
      <c r="A771" s="774"/>
      <c r="B771" s="763"/>
      <c r="C771" s="753">
        <f t="shared" si="95"/>
        <v>0</v>
      </c>
      <c r="D771" s="753">
        <f>'Emission Factors'!$B$69*C771</f>
        <v>0</v>
      </c>
      <c r="E771" s="753">
        <f>'Emission Factors'!$C$69*D771</f>
        <v>0</v>
      </c>
      <c r="F771" s="753">
        <f>'Emission Factors'!$D$69*D771</f>
        <v>0</v>
      </c>
      <c r="G771" s="753">
        <f>'Emission Factors'!$E$69*D771</f>
        <v>0</v>
      </c>
      <c r="H771" s="754">
        <f t="shared" si="94"/>
        <v>0</v>
      </c>
      <c r="I771" s="755">
        <f>D771*'Emission Factors'!$G$69*0.001</f>
        <v>0</v>
      </c>
    </row>
    <row r="772" spans="1:17">
      <c r="A772" s="774"/>
      <c r="B772" s="763"/>
      <c r="C772" s="753">
        <f t="shared" si="95"/>
        <v>0</v>
      </c>
      <c r="D772" s="753">
        <f>'Emission Factors'!$B$69*C772</f>
        <v>0</v>
      </c>
      <c r="E772" s="753">
        <f>'Emission Factors'!$C$69*D772</f>
        <v>0</v>
      </c>
      <c r="F772" s="753">
        <f>'Emission Factors'!$D$69*D772</f>
        <v>0</v>
      </c>
      <c r="G772" s="753">
        <f>'Emission Factors'!$E$69*D772</f>
        <v>0</v>
      </c>
      <c r="H772" s="754">
        <f t="shared" si="94"/>
        <v>0</v>
      </c>
      <c r="I772" s="755">
        <f>D772*'Emission Factors'!$G$69*0.001</f>
        <v>0</v>
      </c>
    </row>
    <row r="773" spans="1:17" ht="16.5" thickBot="1">
      <c r="A773" s="774"/>
      <c r="B773" s="763"/>
      <c r="C773" s="753">
        <f t="shared" si="95"/>
        <v>0</v>
      </c>
      <c r="D773" s="753">
        <f>'Emission Factors'!$B$69*C773</f>
        <v>0</v>
      </c>
      <c r="E773" s="753">
        <f>'Emission Factors'!$C$69*D773</f>
        <v>0</v>
      </c>
      <c r="F773" s="753">
        <f>'Emission Factors'!$D$69*D773</f>
        <v>0</v>
      </c>
      <c r="G773" s="753">
        <f>'Emission Factors'!$E$69*D773</f>
        <v>0</v>
      </c>
      <c r="H773" s="771">
        <f t="shared" si="94"/>
        <v>0</v>
      </c>
      <c r="I773" s="755">
        <f>D773*'Emission Factors'!$G$69*0.001</f>
        <v>0</v>
      </c>
    </row>
    <row r="774" spans="1:17" ht="16.5" thickBot="1">
      <c r="A774" s="769"/>
      <c r="G774" s="760" t="s">
        <v>434</v>
      </c>
      <c r="H774" s="761">
        <f>SUM(H764:H773)</f>
        <v>0</v>
      </c>
      <c r="I774" s="762">
        <f>SUM(I764:I773)</f>
        <v>0</v>
      </c>
    </row>
    <row r="777" spans="1:17" s="740" customFormat="1" ht="36">
      <c r="A777" s="2009" t="s">
        <v>988</v>
      </c>
      <c r="B777" s="2010"/>
      <c r="C777" s="2010"/>
      <c r="D777" s="2010"/>
      <c r="E777" s="2010"/>
      <c r="F777" s="2010"/>
      <c r="G777" s="2010"/>
      <c r="H777" s="2010"/>
      <c r="I777" s="2010"/>
      <c r="J777" s="2010"/>
      <c r="K777" s="2010"/>
      <c r="L777" s="2010"/>
      <c r="M777" s="2010"/>
      <c r="N777" s="2010"/>
      <c r="O777" s="2010"/>
      <c r="P777" s="2010"/>
      <c r="Q777" s="2011"/>
    </row>
    <row r="778" spans="1:17">
      <c r="A778" s="680"/>
      <c r="B778" s="680"/>
      <c r="C778" s="680"/>
      <c r="D778" s="680"/>
      <c r="E778" s="680"/>
      <c r="F778" s="680"/>
      <c r="G778" s="680"/>
      <c r="H778" s="680"/>
      <c r="I778" s="680"/>
      <c r="J778" s="680"/>
      <c r="K778" s="680"/>
      <c r="L778" s="680"/>
      <c r="M778" s="680"/>
      <c r="N778" s="680"/>
      <c r="O778" s="680"/>
      <c r="P778" s="680"/>
      <c r="Q778" s="680"/>
    </row>
    <row r="779" spans="1:17">
      <c r="A779" s="680" t="s">
        <v>989</v>
      </c>
      <c r="B779" s="680"/>
      <c r="C779" s="680"/>
      <c r="D779" s="680"/>
      <c r="E779" s="680"/>
      <c r="F779" s="680"/>
      <c r="G779" s="680"/>
      <c r="H779" s="680"/>
      <c r="I779" s="680"/>
      <c r="J779" s="680"/>
      <c r="K779" s="680"/>
      <c r="L779" s="680"/>
      <c r="M779" s="680"/>
      <c r="N779" s="680"/>
      <c r="O779" s="680"/>
      <c r="P779" s="680"/>
      <c r="Q779" s="680"/>
    </row>
    <row r="780" spans="1:17">
      <c r="A780" s="680" t="s">
        <v>990</v>
      </c>
      <c r="B780" s="680"/>
      <c r="C780" s="680"/>
      <c r="D780" s="680"/>
      <c r="E780" s="680"/>
      <c r="F780" s="680"/>
      <c r="G780" s="680"/>
      <c r="H780" s="680"/>
      <c r="I780" s="680"/>
      <c r="J780" s="680"/>
      <c r="K780" s="680"/>
      <c r="L780" s="680"/>
      <c r="M780" s="680"/>
      <c r="N780" s="680"/>
      <c r="O780" s="680"/>
      <c r="P780" s="680"/>
      <c r="Q780" s="680"/>
    </row>
    <row r="781" spans="1:17">
      <c r="A781" s="680" t="s">
        <v>991</v>
      </c>
      <c r="B781" s="680"/>
      <c r="C781" s="680"/>
      <c r="D781" s="680"/>
      <c r="E781" s="680"/>
      <c r="F781" s="680"/>
      <c r="G781" s="680"/>
      <c r="H781" s="680"/>
      <c r="I781" s="680"/>
      <c r="J781" s="680"/>
      <c r="K781" s="680"/>
      <c r="L781" s="680"/>
      <c r="M781" s="680"/>
      <c r="N781" s="680"/>
      <c r="O781" s="680"/>
      <c r="P781" s="680"/>
      <c r="Q781" s="680"/>
    </row>
    <row r="782" spans="1:17">
      <c r="A782" s="680"/>
      <c r="B782" s="680"/>
      <c r="C782" s="680"/>
      <c r="D782" s="680"/>
      <c r="E782" s="680"/>
      <c r="F782" s="680"/>
      <c r="G782" s="680"/>
      <c r="H782" s="680"/>
      <c r="I782" s="680"/>
      <c r="J782" s="680"/>
      <c r="K782" s="680"/>
      <c r="L782" s="680"/>
      <c r="M782" s="680"/>
      <c r="N782" s="680"/>
      <c r="O782" s="680"/>
      <c r="P782" s="680"/>
      <c r="Q782" s="680"/>
    </row>
    <row r="783" spans="1:17">
      <c r="A783" s="680"/>
      <c r="B783" s="680" t="s">
        <v>992</v>
      </c>
      <c r="C783" s="680"/>
      <c r="D783" s="680"/>
      <c r="E783" s="680"/>
      <c r="F783" s="680"/>
      <c r="G783" s="680"/>
      <c r="H783" s="680"/>
      <c r="I783" s="680"/>
      <c r="J783" s="680"/>
      <c r="K783" s="680"/>
      <c r="L783" s="680"/>
      <c r="M783" s="680"/>
      <c r="N783" s="680"/>
      <c r="O783" s="680"/>
      <c r="P783" s="680"/>
      <c r="Q783" s="680"/>
    </row>
    <row r="784" spans="1:17">
      <c r="A784" s="680"/>
      <c r="B784" s="680" t="s">
        <v>993</v>
      </c>
      <c r="C784" s="680"/>
      <c r="D784" s="680"/>
      <c r="E784" s="680"/>
      <c r="F784" s="680"/>
      <c r="G784" s="680"/>
      <c r="H784" s="680"/>
      <c r="I784" s="680"/>
      <c r="J784" s="680"/>
      <c r="K784" s="680"/>
      <c r="L784" s="680"/>
      <c r="M784" s="680"/>
      <c r="N784" s="680"/>
      <c r="O784" s="680"/>
      <c r="P784" s="680"/>
      <c r="Q784" s="680"/>
    </row>
    <row r="785" spans="1:17">
      <c r="A785" s="680"/>
      <c r="B785" s="680" t="s">
        <v>994</v>
      </c>
      <c r="C785" s="680"/>
      <c r="D785" s="680"/>
      <c r="E785" s="680"/>
      <c r="F785" s="680"/>
      <c r="G785" s="680"/>
      <c r="H785" s="680"/>
      <c r="I785" s="680"/>
      <c r="J785" s="680"/>
      <c r="K785" s="680"/>
      <c r="L785" s="680"/>
      <c r="M785" s="680"/>
      <c r="N785" s="680"/>
      <c r="O785" s="680"/>
      <c r="P785" s="680"/>
      <c r="Q785" s="680"/>
    </row>
    <row r="786" spans="1:17">
      <c r="A786" s="680"/>
      <c r="B786" s="680"/>
      <c r="C786" s="1052" t="s">
        <v>995</v>
      </c>
      <c r="D786" s="680"/>
      <c r="E786" s="680"/>
      <c r="F786" s="680"/>
      <c r="G786" s="680"/>
      <c r="H786" s="680"/>
      <c r="I786" s="680"/>
      <c r="J786" s="680"/>
      <c r="K786" s="680"/>
      <c r="L786" s="680"/>
      <c r="M786" s="680"/>
      <c r="N786" s="680"/>
      <c r="O786" s="680"/>
      <c r="P786" s="680"/>
      <c r="Q786" s="680"/>
    </row>
    <row r="787" spans="1:17">
      <c r="A787" s="680"/>
      <c r="B787" s="680"/>
      <c r="C787" s="680"/>
      <c r="D787" s="680"/>
      <c r="E787" s="680"/>
      <c r="F787" s="680"/>
      <c r="G787" s="680"/>
      <c r="H787" s="680"/>
      <c r="I787" s="680"/>
      <c r="J787" s="680"/>
      <c r="K787" s="680"/>
      <c r="L787" s="680"/>
      <c r="M787" s="680"/>
      <c r="N787" s="680"/>
      <c r="O787" s="680"/>
      <c r="P787" s="680"/>
      <c r="Q787" s="680"/>
    </row>
    <row r="788" spans="1:17">
      <c r="A788" s="680"/>
      <c r="B788" s="680" t="s">
        <v>996</v>
      </c>
      <c r="C788" s="680"/>
      <c r="D788" s="680"/>
      <c r="E788" s="680"/>
      <c r="F788" s="680"/>
      <c r="G788" s="680"/>
      <c r="H788" s="680"/>
      <c r="I788" s="680"/>
      <c r="J788" s="680"/>
      <c r="K788" s="680"/>
      <c r="L788" s="680"/>
      <c r="M788" s="680"/>
      <c r="N788" s="680"/>
      <c r="O788" s="680"/>
      <c r="P788" s="680"/>
      <c r="Q788" s="680"/>
    </row>
    <row r="789" spans="1:17">
      <c r="A789" s="680"/>
      <c r="B789" s="680"/>
      <c r="C789" s="680"/>
      <c r="D789" s="680"/>
      <c r="E789" s="680"/>
      <c r="F789" s="680"/>
      <c r="G789" s="680"/>
      <c r="H789" s="680"/>
      <c r="I789" s="680"/>
      <c r="J789" s="680"/>
      <c r="K789" s="680"/>
      <c r="L789" s="680"/>
      <c r="M789" s="680"/>
      <c r="N789" s="680"/>
      <c r="O789" s="680"/>
      <c r="P789" s="680"/>
      <c r="Q789" s="680"/>
    </row>
    <row r="790" spans="1:17">
      <c r="A790" s="680"/>
      <c r="B790" s="680"/>
      <c r="C790" s="680"/>
      <c r="D790" s="680"/>
      <c r="E790" s="680"/>
      <c r="F790" s="680"/>
      <c r="G790" s="680"/>
      <c r="H790" s="680"/>
      <c r="I790" s="680"/>
      <c r="J790" s="680"/>
      <c r="K790" s="680"/>
      <c r="L790" s="680"/>
      <c r="M790" s="680"/>
      <c r="N790" s="680"/>
      <c r="O790" s="680"/>
      <c r="P790" s="680"/>
      <c r="Q790" s="680"/>
    </row>
    <row r="791" spans="1:17">
      <c r="A791" s="680"/>
      <c r="B791" s="680"/>
      <c r="C791" s="680"/>
      <c r="D791" s="680"/>
      <c r="E791" s="680"/>
      <c r="F791" s="680"/>
      <c r="G791" s="680"/>
      <c r="H791" s="680"/>
      <c r="I791" s="680"/>
      <c r="J791" s="680"/>
      <c r="K791" s="680"/>
      <c r="L791" s="680"/>
      <c r="M791" s="680"/>
      <c r="N791" s="680"/>
      <c r="O791" s="680"/>
      <c r="P791" s="680"/>
      <c r="Q791" s="680"/>
    </row>
    <row r="792" spans="1:17">
      <c r="A792" s="680"/>
      <c r="B792" s="680"/>
      <c r="C792" s="680"/>
      <c r="D792" s="680"/>
      <c r="E792" s="680"/>
      <c r="F792" s="680"/>
      <c r="G792" s="680"/>
      <c r="H792" s="680"/>
      <c r="I792" s="680"/>
      <c r="J792" s="680"/>
      <c r="K792" s="680"/>
      <c r="L792" s="680"/>
      <c r="M792" s="680"/>
      <c r="N792" s="680"/>
      <c r="O792" s="680"/>
      <c r="P792" s="680"/>
      <c r="Q792" s="680"/>
    </row>
    <row r="793" spans="1:17">
      <c r="A793" s="680"/>
      <c r="B793" s="680"/>
      <c r="C793" s="680"/>
      <c r="D793" s="680"/>
      <c r="E793" s="680"/>
      <c r="F793" s="680"/>
      <c r="G793" s="680"/>
      <c r="H793" s="680"/>
      <c r="I793" s="680"/>
      <c r="J793" s="680"/>
      <c r="K793" s="680"/>
      <c r="L793" s="680"/>
      <c r="M793" s="680"/>
      <c r="N793" s="680"/>
      <c r="O793" s="680"/>
      <c r="P793" s="680"/>
      <c r="Q793" s="680"/>
    </row>
    <row r="794" spans="1:17">
      <c r="A794" s="680"/>
      <c r="B794" s="680"/>
      <c r="C794" s="680"/>
      <c r="D794" s="680"/>
      <c r="E794" s="680"/>
      <c r="F794"/>
      <c r="G794"/>
      <c r="H794"/>
      <c r="I794" s="680"/>
      <c r="J794" s="680"/>
      <c r="K794" s="680"/>
      <c r="L794" s="680"/>
      <c r="M794" s="680"/>
      <c r="N794" s="680"/>
      <c r="O794" s="680"/>
      <c r="P794" s="680"/>
      <c r="Q794" s="680"/>
    </row>
    <row r="795" spans="1:17">
      <c r="A795" s="680"/>
      <c r="B795" s="680"/>
      <c r="C795" s="680"/>
      <c r="D795" s="680"/>
      <c r="E795" s="680"/>
      <c r="F795" s="680"/>
      <c r="G795" s="680"/>
      <c r="H795" s="680"/>
      <c r="I795" s="680"/>
      <c r="J795" s="680"/>
      <c r="K795" s="680"/>
      <c r="L795" s="680"/>
      <c r="M795" s="680"/>
      <c r="N795" s="680"/>
      <c r="O795" s="680"/>
      <c r="P795" s="680"/>
      <c r="Q795" s="680"/>
    </row>
    <row r="796" spans="1:17">
      <c r="A796" s="680"/>
      <c r="B796" s="680"/>
      <c r="C796" s="680"/>
      <c r="D796" s="680"/>
      <c r="E796" s="680"/>
      <c r="F796" s="680"/>
      <c r="G796" s="680"/>
      <c r="H796" s="680"/>
      <c r="I796" s="680"/>
      <c r="J796" s="680"/>
      <c r="K796" s="680"/>
      <c r="L796" s="680"/>
      <c r="M796" s="680"/>
      <c r="N796" s="680"/>
      <c r="O796" s="680"/>
      <c r="P796" s="680"/>
      <c r="Q796" s="680"/>
    </row>
    <row r="797" spans="1:17">
      <c r="A797" s="680"/>
      <c r="B797" s="680"/>
      <c r="C797" s="680"/>
      <c r="D797" s="680"/>
      <c r="E797" s="680"/>
      <c r="F797" s="680"/>
      <c r="G797" s="680"/>
      <c r="H797" s="680"/>
      <c r="I797" s="680"/>
      <c r="J797" s="680"/>
      <c r="K797" s="680"/>
      <c r="L797" s="680"/>
      <c r="M797" s="680"/>
      <c r="N797" s="680"/>
      <c r="O797" s="680"/>
      <c r="P797" s="680"/>
      <c r="Q797" s="680"/>
    </row>
    <row r="798" spans="1:17">
      <c r="A798" s="680"/>
      <c r="B798" s="680"/>
      <c r="C798" s="680"/>
      <c r="D798" s="680"/>
      <c r="E798" s="680"/>
      <c r="F798" s="680"/>
      <c r="G798" s="680"/>
      <c r="H798" s="680"/>
      <c r="I798" s="680"/>
      <c r="J798" s="680"/>
      <c r="K798" s="680"/>
      <c r="L798" s="680"/>
      <c r="M798" s="680"/>
      <c r="N798" s="680"/>
      <c r="O798" s="680"/>
      <c r="P798" s="680"/>
      <c r="Q798" s="680"/>
    </row>
    <row r="799" spans="1:17">
      <c r="A799" s="680"/>
      <c r="B799" s="680"/>
      <c r="C799" s="680"/>
      <c r="D799" s="680"/>
      <c r="E799" s="680"/>
      <c r="F799" s="680"/>
      <c r="G799" s="680"/>
      <c r="H799" s="680"/>
      <c r="I799" s="680"/>
      <c r="J799" s="680"/>
      <c r="K799" s="680"/>
      <c r="L799" s="680"/>
      <c r="M799" s="680"/>
      <c r="N799" s="680"/>
      <c r="O799" s="680"/>
      <c r="P799" s="680"/>
      <c r="Q799" s="680"/>
    </row>
    <row r="800" spans="1:17" ht="16.5" thickBot="1">
      <c r="A800" s="1052" t="s">
        <v>997</v>
      </c>
      <c r="B800" s="680"/>
      <c r="C800" s="680"/>
      <c r="D800" s="680"/>
      <c r="E800" s="680"/>
      <c r="F800" s="1052" t="s">
        <v>998</v>
      </c>
      <c r="G800" s="680"/>
      <c r="H800" s="680"/>
      <c r="I800" s="680"/>
      <c r="J800" s="680"/>
      <c r="K800" s="680"/>
      <c r="L800" s="680"/>
      <c r="M800" s="680"/>
      <c r="N800" s="680"/>
      <c r="O800" s="680"/>
      <c r="P800" s="680"/>
      <c r="Q800" s="680"/>
    </row>
    <row r="801" spans="1:17" ht="47.25">
      <c r="A801" s="1053" t="s">
        <v>999</v>
      </c>
      <c r="B801" s="1054" t="s">
        <v>1000</v>
      </c>
      <c r="C801" s="1055" t="s">
        <v>1001</v>
      </c>
      <c r="D801" s="680"/>
      <c r="E801" s="680"/>
      <c r="F801" s="1053" t="s">
        <v>1002</v>
      </c>
      <c r="G801" s="1054" t="s">
        <v>1000</v>
      </c>
      <c r="H801" s="1055" t="s">
        <v>1001</v>
      </c>
      <c r="I801" s="680"/>
      <c r="J801" s="680"/>
      <c r="K801" s="680"/>
      <c r="L801" s="680"/>
      <c r="M801" s="680"/>
      <c r="N801" s="680"/>
      <c r="O801" s="680"/>
      <c r="P801" s="680"/>
      <c r="Q801" s="680"/>
    </row>
    <row r="802" spans="1:17">
      <c r="A802" s="1056"/>
      <c r="B802" s="1057"/>
      <c r="C802" s="1058"/>
      <c r="D802" s="680"/>
      <c r="E802" s="680"/>
      <c r="F802" s="1405"/>
      <c r="G802" s="1406"/>
      <c r="H802" s="1058">
        <f>G802*I802/1000</f>
        <v>0</v>
      </c>
      <c r="I802"/>
      <c r="J802" s="680"/>
      <c r="K802" s="680"/>
      <c r="L802" s="680"/>
      <c r="M802" s="680"/>
      <c r="N802" s="680"/>
      <c r="O802" s="680"/>
      <c r="P802" s="680"/>
      <c r="Q802" s="680"/>
    </row>
    <row r="803" spans="1:17">
      <c r="A803" s="1056"/>
      <c r="B803" s="1057"/>
      <c r="C803" s="1058"/>
      <c r="D803" s="680"/>
      <c r="E803" s="680"/>
      <c r="F803" s="1405"/>
      <c r="G803" s="1406"/>
      <c r="H803" s="1058">
        <f>G803*I803/1000</f>
        <v>0</v>
      </c>
      <c r="I803"/>
      <c r="J803" s="680"/>
      <c r="K803" s="680"/>
      <c r="L803" s="680"/>
      <c r="M803" s="680"/>
      <c r="N803" s="680"/>
      <c r="O803" s="680"/>
      <c r="P803" s="680"/>
      <c r="Q803" s="680"/>
    </row>
    <row r="804" spans="1:17">
      <c r="A804" s="1056"/>
      <c r="B804" s="1057"/>
      <c r="C804" s="1057"/>
      <c r="D804" s="680"/>
      <c r="E804" s="680"/>
      <c r="F804" s="1056"/>
      <c r="G804" s="1057"/>
      <c r="H804" s="1058"/>
      <c r="I804" s="680"/>
      <c r="J804" s="680"/>
      <c r="K804" s="680"/>
      <c r="L804" s="680"/>
      <c r="M804" s="680"/>
      <c r="N804" s="680"/>
      <c r="O804" s="680"/>
      <c r="P804" s="680"/>
      <c r="Q804" s="680"/>
    </row>
    <row r="805" spans="1:17">
      <c r="A805" s="1056"/>
      <c r="B805" s="1057"/>
      <c r="C805" s="1058"/>
      <c r="D805" s="680"/>
      <c r="E805" s="680"/>
      <c r="F805" s="1056"/>
      <c r="G805" s="1057"/>
      <c r="H805" s="1058"/>
      <c r="I805" s="680"/>
      <c r="J805" s="680"/>
      <c r="K805" s="680"/>
      <c r="L805" s="680"/>
      <c r="M805" s="680"/>
      <c r="N805" s="680"/>
      <c r="O805" s="680"/>
      <c r="P805" s="680"/>
      <c r="Q805" s="680"/>
    </row>
    <row r="806" spans="1:17">
      <c r="A806" s="1056"/>
      <c r="B806" s="1057"/>
      <c r="C806" s="1058"/>
      <c r="D806" s="680"/>
      <c r="E806" s="680"/>
      <c r="F806" s="1056"/>
      <c r="G806" s="1057"/>
      <c r="H806" s="1058"/>
      <c r="I806" s="680"/>
      <c r="J806" s="680"/>
      <c r="K806" s="680"/>
      <c r="L806" s="680"/>
      <c r="M806" s="680"/>
      <c r="N806" s="680"/>
      <c r="O806" s="680"/>
      <c r="P806" s="680"/>
      <c r="Q806" s="680"/>
    </row>
    <row r="807" spans="1:17">
      <c r="A807" s="1056"/>
      <c r="B807" s="1057"/>
      <c r="C807" s="1058"/>
      <c r="D807" s="680"/>
      <c r="E807" s="680"/>
      <c r="F807" s="1056"/>
      <c r="G807" s="1057"/>
      <c r="H807" s="1058"/>
      <c r="I807" s="680"/>
      <c r="J807" s="680"/>
      <c r="K807" s="680"/>
      <c r="L807" s="680"/>
      <c r="M807" s="680"/>
      <c r="N807" s="680"/>
      <c r="O807" s="680"/>
      <c r="P807" s="680"/>
      <c r="Q807" s="680"/>
    </row>
    <row r="808" spans="1:17">
      <c r="A808" s="1056"/>
      <c r="B808" s="1057"/>
      <c r="C808" s="1058"/>
      <c r="D808" s="680"/>
      <c r="E808" s="680"/>
      <c r="F808" s="1056"/>
      <c r="G808" s="1057"/>
      <c r="H808" s="1058"/>
      <c r="I808" s="680"/>
      <c r="J808" s="680"/>
      <c r="K808" s="680"/>
      <c r="L808" s="680"/>
      <c r="M808" s="680"/>
      <c r="N808" s="680"/>
      <c r="O808" s="680"/>
      <c r="P808" s="680"/>
      <c r="Q808" s="680"/>
    </row>
    <row r="809" spans="1:17">
      <c r="A809" s="1056"/>
      <c r="B809" s="1057"/>
      <c r="C809" s="1058"/>
      <c r="D809" s="680"/>
      <c r="E809" s="680"/>
      <c r="F809" s="1056"/>
      <c r="G809" s="1057"/>
      <c r="H809" s="1058"/>
      <c r="I809" s="680"/>
      <c r="J809" s="680"/>
      <c r="K809" s="680"/>
      <c r="L809" s="680"/>
      <c r="M809" s="680"/>
      <c r="N809" s="680"/>
      <c r="O809" s="680"/>
      <c r="P809" s="680"/>
      <c r="Q809" s="680"/>
    </row>
    <row r="810" spans="1:17" ht="16.5" thickBot="1">
      <c r="A810" s="1059" t="s">
        <v>424</v>
      </c>
      <c r="B810" s="681">
        <f>SUM(B802:B809)</f>
        <v>0</v>
      </c>
      <c r="C810" s="682">
        <f>SUM(C802:C809)</f>
        <v>0</v>
      </c>
      <c r="D810" s="680"/>
      <c r="E810" s="680"/>
      <c r="F810" s="1060" t="s">
        <v>424</v>
      </c>
      <c r="G810" s="681">
        <f>SUM(G802:G809)</f>
        <v>0</v>
      </c>
      <c r="H810" s="682">
        <f t="shared" ref="H810" si="96">SUM(H802:H809)</f>
        <v>0</v>
      </c>
      <c r="I810" s="680"/>
      <c r="J810" s="680"/>
      <c r="K810" s="680"/>
      <c r="L810" s="680"/>
      <c r="M810" s="680"/>
      <c r="N810" s="680"/>
      <c r="O810" s="680"/>
      <c r="P810" s="680"/>
      <c r="Q810" s="680"/>
    </row>
    <row r="811" spans="1:17">
      <c r="A811" s="680"/>
      <c r="B811" s="680"/>
      <c r="C811" s="680"/>
      <c r="D811" s="680"/>
      <c r="E811" s="680"/>
      <c r="F811" s="680"/>
      <c r="G811" s="680"/>
      <c r="H811" s="680"/>
      <c r="I811" s="680"/>
      <c r="J811" s="680"/>
      <c r="K811" s="680"/>
      <c r="L811" s="680"/>
      <c r="M811" s="680"/>
      <c r="N811" s="680"/>
      <c r="O811" s="680"/>
      <c r="P811" s="680"/>
      <c r="Q811" s="680"/>
    </row>
    <row r="812" spans="1:17">
      <c r="A812" s="680"/>
      <c r="B812" s="680"/>
      <c r="C812" s="680"/>
      <c r="D812" s="680"/>
      <c r="E812" s="680"/>
      <c r="F812" s="680"/>
      <c r="G812" s="680"/>
      <c r="H812" s="680"/>
      <c r="I812" s="680"/>
      <c r="J812" s="680"/>
      <c r="K812" s="680"/>
      <c r="L812" s="680"/>
      <c r="M812" s="680"/>
      <c r="N812" s="680"/>
      <c r="O812" s="680"/>
      <c r="P812" s="680"/>
      <c r="Q812" s="680"/>
    </row>
    <row r="813" spans="1:17">
      <c r="A813" s="680"/>
      <c r="B813" s="680"/>
      <c r="C813" s="680"/>
      <c r="D813" s="680"/>
      <c r="E813" s="680"/>
      <c r="F813" s="680"/>
      <c r="G813" s="680"/>
      <c r="H813" s="680"/>
      <c r="I813" s="680"/>
      <c r="J813" s="680"/>
      <c r="K813" s="680"/>
      <c r="L813" s="680"/>
      <c r="M813" s="680"/>
      <c r="N813" s="680"/>
      <c r="O813" s="680"/>
      <c r="P813" s="680"/>
      <c r="Q813" s="680"/>
    </row>
    <row r="814" spans="1:17">
      <c r="A814" s="680"/>
      <c r="B814" s="680"/>
      <c r="C814" s="680"/>
      <c r="D814" s="680"/>
      <c r="E814" s="680"/>
      <c r="F814" s="680"/>
      <c r="G814" s="680"/>
      <c r="H814" s="680"/>
      <c r="I814" s="680"/>
      <c r="J814" s="680"/>
      <c r="K814" s="680"/>
      <c r="L814" s="680"/>
      <c r="M814" s="680"/>
      <c r="N814" s="680"/>
      <c r="O814" s="680"/>
      <c r="P814" s="680"/>
      <c r="Q814" s="680"/>
    </row>
    <row r="815" spans="1:17">
      <c r="A815" s="680"/>
      <c r="B815" s="680"/>
      <c r="C815" s="680"/>
      <c r="D815" s="680"/>
      <c r="E815" s="680"/>
      <c r="F815" s="680"/>
      <c r="G815" s="680"/>
      <c r="H815" s="680"/>
      <c r="I815" s="680"/>
      <c r="J815" s="680"/>
      <c r="K815" s="680"/>
      <c r="L815" s="680"/>
      <c r="M815" s="680"/>
      <c r="N815" s="680"/>
      <c r="O815" s="680"/>
      <c r="P815" s="680"/>
      <c r="Q815" s="680"/>
    </row>
    <row r="816" spans="1:17">
      <c r="A816" s="680"/>
      <c r="B816" s="680"/>
      <c r="C816" s="680"/>
      <c r="D816" s="680"/>
      <c r="E816" s="680"/>
      <c r="F816" s="680"/>
      <c r="G816" s="680"/>
      <c r="H816" s="680"/>
      <c r="I816" s="680"/>
      <c r="J816" s="680"/>
      <c r="K816" s="680"/>
      <c r="L816" s="680"/>
      <c r="M816" s="680"/>
      <c r="N816" s="680"/>
      <c r="O816" s="680"/>
      <c r="P816" s="680"/>
      <c r="Q816" s="680"/>
    </row>
    <row r="817" spans="1:17">
      <c r="A817" s="680"/>
      <c r="B817" s="680"/>
      <c r="C817" s="680"/>
      <c r="D817" s="680"/>
      <c r="E817" s="680"/>
      <c r="F817" s="680"/>
      <c r="G817" s="680"/>
      <c r="H817" s="680"/>
      <c r="I817" s="680"/>
      <c r="J817" s="680"/>
      <c r="K817" s="680"/>
      <c r="L817" s="680"/>
      <c r="M817" s="680"/>
      <c r="N817" s="680"/>
      <c r="O817" s="680"/>
      <c r="P817" s="680"/>
      <c r="Q817" s="680"/>
    </row>
  </sheetData>
  <mergeCells count="98">
    <mergeCell ref="A152:XFD152"/>
    <mergeCell ref="B159:C159"/>
    <mergeCell ref="A174:XFD174"/>
    <mergeCell ref="A380:XFD380"/>
    <mergeCell ref="C382:D382"/>
    <mergeCell ref="A369:O369"/>
    <mergeCell ref="A241:G241"/>
    <mergeCell ref="A777:Q777"/>
    <mergeCell ref="A300:Q300"/>
    <mergeCell ref="A304:O304"/>
    <mergeCell ref="A292:G292"/>
    <mergeCell ref="A214:Q214"/>
    <mergeCell ref="A399:XFD399"/>
    <mergeCell ref="A359:O359"/>
    <mergeCell ref="A349:O349"/>
    <mergeCell ref="A339:O339"/>
    <mergeCell ref="A329:O329"/>
    <mergeCell ref="A229:G229"/>
    <mergeCell ref="B303:C303"/>
    <mergeCell ref="A217:G217"/>
    <mergeCell ref="A277:G277"/>
    <mergeCell ref="A265:G265"/>
    <mergeCell ref="A253:G253"/>
    <mergeCell ref="L1:Q1"/>
    <mergeCell ref="A23:Q23"/>
    <mergeCell ref="A59:B59"/>
    <mergeCell ref="A63:B63"/>
    <mergeCell ref="A57:B58"/>
    <mergeCell ref="A40:Q40"/>
    <mergeCell ref="B1:G1"/>
    <mergeCell ref="C42:D42"/>
    <mergeCell ref="C25:D25"/>
    <mergeCell ref="A70:I70"/>
    <mergeCell ref="A103:XFD103"/>
    <mergeCell ref="A121:XFD121"/>
    <mergeCell ref="A137:XFD137"/>
    <mergeCell ref="A91:T91"/>
    <mergeCell ref="H73:I74"/>
    <mergeCell ref="F93:G93"/>
    <mergeCell ref="H96:I97"/>
    <mergeCell ref="B106:E106"/>
    <mergeCell ref="A521:I521"/>
    <mergeCell ref="A522:C522"/>
    <mergeCell ref="B400:C400"/>
    <mergeCell ref="A401:O401"/>
    <mergeCell ref="A411:O411"/>
    <mergeCell ref="A421:O421"/>
    <mergeCell ref="A490:C490"/>
    <mergeCell ref="D490:E490"/>
    <mergeCell ref="A474:I474"/>
    <mergeCell ref="A506:C506"/>
    <mergeCell ref="D506:E506"/>
    <mergeCell ref="A475:C475"/>
    <mergeCell ref="D475:E475"/>
    <mergeCell ref="A431:O431"/>
    <mergeCell ref="A441:O441"/>
    <mergeCell ref="A451:O451"/>
    <mergeCell ref="A463:S463"/>
    <mergeCell ref="A715:I715"/>
    <mergeCell ref="A745:I745"/>
    <mergeCell ref="D522:E522"/>
    <mergeCell ref="A537:C537"/>
    <mergeCell ref="D537:E537"/>
    <mergeCell ref="A699:C699"/>
    <mergeCell ref="D699:E699"/>
    <mergeCell ref="A684:I684"/>
    <mergeCell ref="A624:C624"/>
    <mergeCell ref="D624:E624"/>
    <mergeCell ref="A639:C639"/>
    <mergeCell ref="D639:E639"/>
    <mergeCell ref="A685:C685"/>
    <mergeCell ref="D685:E685"/>
    <mergeCell ref="A655:C655"/>
    <mergeCell ref="A746:C746"/>
    <mergeCell ref="D746:E746"/>
    <mergeCell ref="A761:C761"/>
    <mergeCell ref="D761:E761"/>
    <mergeCell ref="A716:C716"/>
    <mergeCell ref="D716:E716"/>
    <mergeCell ref="A730:C730"/>
    <mergeCell ref="D730:E730"/>
    <mergeCell ref="A582:AJ582"/>
    <mergeCell ref="A594:C594"/>
    <mergeCell ref="D594:E594"/>
    <mergeCell ref="A608:C608"/>
    <mergeCell ref="D608:E608"/>
    <mergeCell ref="D585:G587"/>
    <mergeCell ref="A593:I593"/>
    <mergeCell ref="A552:I552"/>
    <mergeCell ref="A553:C553"/>
    <mergeCell ref="D553:E553"/>
    <mergeCell ref="A567:C567"/>
    <mergeCell ref="D567:E567"/>
    <mergeCell ref="D655:E655"/>
    <mergeCell ref="A669:C669"/>
    <mergeCell ref="D669:E669"/>
    <mergeCell ref="A654:I654"/>
    <mergeCell ref="A623:F623"/>
  </mergeCells>
  <hyperlinks>
    <hyperlink ref="C786" r:id="rId1" xr:uid="{244D474A-35FB-4FE8-A369-15303A9FB2BC}"/>
    <hyperlink ref="A800" r:id="rId2" xr:uid="{AD487A75-B94D-44F5-9C90-AE61F9B76AA0}"/>
    <hyperlink ref="F800" r:id="rId3" display="Guidance on Purchased Goods and Services" xr:uid="{90C0E5D0-7C12-4134-B3B1-899B7A8E1DE7}"/>
    <hyperlink ref="D297" r:id="rId4" xr:uid="{45AACA26-15E3-4630-A434-CC6740B7F6E0}"/>
    <hyperlink ref="B504" r:id="rId5" xr:uid="{68FC8702-27FF-46D6-8CDD-3972D9097CB8}"/>
    <hyperlink ref="B535" r:id="rId6" xr:uid="{BE435F7A-6743-4130-B28A-74DC73BF291B}"/>
    <hyperlink ref="B759" r:id="rId7" xr:uid="{D3D6AE63-4995-40F2-AE16-1C14CF2D3D8D}"/>
  </hyperlinks>
  <pageMargins left="0.7" right="0.7" top="0.75" bottom="0.75" header="0.3" footer="0.3"/>
  <pageSetup orientation="portrait" horizontalDpi="4294967293" r:id="rId8"/>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9999"/>
  </sheetPr>
  <dimension ref="A1:S565"/>
  <sheetViews>
    <sheetView tabSelected="1" topLeftCell="A106" zoomScale="70" zoomScaleNormal="70" workbookViewId="0">
      <selection activeCell="F120" sqref="F120"/>
    </sheetView>
  </sheetViews>
  <sheetFormatPr baseColWidth="10" defaultColWidth="8.85546875" defaultRowHeight="15.75"/>
  <cols>
    <col min="1" max="1" width="48.85546875" style="809" customWidth="1"/>
    <col min="2" max="2" width="20.85546875" style="694" customWidth="1"/>
    <col min="3" max="3" width="17.85546875" style="711" customWidth="1"/>
    <col min="4" max="4" width="25.28515625" style="694" customWidth="1"/>
    <col min="5" max="5" width="24.85546875" style="694" bestFit="1" customWidth="1"/>
    <col min="6" max="6" width="25.42578125" style="694" bestFit="1" customWidth="1"/>
    <col min="7" max="7" width="24.42578125" style="694" bestFit="1" customWidth="1"/>
    <col min="8" max="8" width="26.7109375" style="694" bestFit="1" customWidth="1"/>
    <col min="9" max="9" width="25.5703125" style="694" bestFit="1" customWidth="1"/>
    <col min="10" max="10" width="22.28515625" style="694" customWidth="1"/>
    <col min="11" max="11" width="23.28515625" style="694" customWidth="1"/>
    <col min="12" max="12" width="20.140625" style="694" customWidth="1"/>
    <col min="13" max="13" width="21.85546875" style="694" customWidth="1"/>
    <col min="14" max="14" width="16.7109375" style="694" customWidth="1"/>
    <col min="15" max="15" width="16.42578125" style="694" customWidth="1"/>
    <col min="16" max="16" width="18.42578125" style="694" customWidth="1"/>
    <col min="17" max="17" width="19.140625" style="694" customWidth="1"/>
    <col min="18" max="18" width="23.85546875" style="694" customWidth="1"/>
    <col min="19" max="19" width="20" style="694" customWidth="1"/>
    <col min="20" max="20" width="21.140625" style="694" customWidth="1"/>
    <col min="21" max="21" width="10.42578125" style="694" customWidth="1"/>
    <col min="22" max="22" width="20.140625" style="694" customWidth="1"/>
    <col min="23" max="23" width="13.85546875" style="694" customWidth="1"/>
    <col min="24" max="24" width="14.140625" style="694" customWidth="1"/>
    <col min="25" max="25" width="13.140625" style="694" customWidth="1"/>
    <col min="26" max="26" width="8.85546875" style="694"/>
    <col min="27" max="27" width="14.85546875" style="694" customWidth="1"/>
    <col min="28" max="28" width="11.28515625" style="694" customWidth="1"/>
    <col min="29" max="29" width="15.140625" style="694" customWidth="1"/>
    <col min="30" max="30" width="12" style="694" customWidth="1"/>
    <col min="31" max="16384" width="8.85546875" style="694"/>
  </cols>
  <sheetData>
    <row r="1" spans="1:17" ht="69" customHeight="1" thickBot="1">
      <c r="A1" s="1061" t="s">
        <v>143</v>
      </c>
      <c r="B1" s="2045" t="s">
        <v>1003</v>
      </c>
      <c r="C1" s="2022"/>
      <c r="D1" s="2022"/>
      <c r="E1" s="2023"/>
      <c r="F1" s="2001" t="s">
        <v>414</v>
      </c>
      <c r="G1" s="2002"/>
      <c r="H1" s="2002"/>
      <c r="I1" s="2002"/>
      <c r="J1" s="2002"/>
      <c r="K1" s="2003"/>
    </row>
    <row r="2" spans="1:17" ht="36.75" customHeight="1">
      <c r="A2" s="728"/>
      <c r="F2" s="733" t="s">
        <v>415</v>
      </c>
      <c r="G2" s="734"/>
      <c r="H2" s="735" t="s">
        <v>416</v>
      </c>
      <c r="I2" s="736"/>
      <c r="J2" s="735" t="s">
        <v>417</v>
      </c>
      <c r="K2" s="737"/>
    </row>
    <row r="3" spans="1:17">
      <c r="A3" s="738"/>
      <c r="B3" s="710"/>
      <c r="C3" s="694"/>
      <c r="G3" s="712"/>
      <c r="H3" s="712"/>
      <c r="I3" s="712"/>
      <c r="J3" s="674"/>
      <c r="K3" s="712"/>
      <c r="L3" s="674"/>
    </row>
    <row r="4" spans="1:17" ht="36.950000000000003" customHeight="1">
      <c r="A4" s="738"/>
      <c r="B4" s="692" t="s">
        <v>553</v>
      </c>
      <c r="C4" s="694"/>
      <c r="D4" s="2061" t="s">
        <v>1004</v>
      </c>
      <c r="E4" s="2061"/>
      <c r="F4" s="2061"/>
      <c r="G4" s="2061"/>
      <c r="H4" s="2061"/>
      <c r="I4" s="712"/>
      <c r="J4" s="674"/>
      <c r="L4" s="674"/>
    </row>
    <row r="5" spans="1:17" ht="42">
      <c r="A5" s="1062" t="str">
        <f>A14</f>
        <v>Domestic Product Transport (excluding wine club shipments)</v>
      </c>
      <c r="B5" s="739">
        <f>SUM(H28,H43,H59,H74)</f>
        <v>0</v>
      </c>
      <c r="C5" s="694"/>
      <c r="D5" s="2061"/>
      <c r="E5" s="2061"/>
      <c r="F5" s="2061"/>
      <c r="G5" s="2061"/>
      <c r="H5" s="2061"/>
      <c r="I5" s="712"/>
      <c r="J5" s="674"/>
      <c r="K5" s="712"/>
      <c r="L5" s="674"/>
    </row>
    <row r="6" spans="1:17" ht="21" customHeight="1">
      <c r="A6" s="1062" t="s">
        <v>176</v>
      </c>
      <c r="B6" s="739">
        <f>SUM(H91,H105)</f>
        <v>0</v>
      </c>
      <c r="C6" s="694"/>
      <c r="D6" s="2063" t="s">
        <v>1005</v>
      </c>
      <c r="E6" s="2063"/>
      <c r="F6" s="2063"/>
      <c r="G6" s="2063"/>
      <c r="H6" s="2063"/>
      <c r="I6" s="712"/>
      <c r="J6" s="674"/>
      <c r="K6" s="712"/>
      <c r="L6" s="674"/>
    </row>
    <row r="7" spans="1:17" ht="42">
      <c r="A7" s="1062" t="s">
        <v>1006</v>
      </c>
      <c r="B7" s="739">
        <f>SUM(G121)</f>
        <v>0</v>
      </c>
      <c r="C7" s="694"/>
      <c r="D7" s="2063"/>
      <c r="E7" s="2063"/>
      <c r="F7" s="2063"/>
      <c r="G7" s="2063"/>
      <c r="H7" s="2063"/>
      <c r="I7" s="712"/>
      <c r="J7" s="674"/>
      <c r="K7" s="712"/>
      <c r="L7" s="674"/>
    </row>
    <row r="8" spans="1:17" ht="21">
      <c r="A8" s="1062" t="s">
        <v>1007</v>
      </c>
      <c r="B8" s="739">
        <f>SUM(H137,H152,H168,H183)</f>
        <v>0</v>
      </c>
      <c r="C8" s="694"/>
      <c r="G8" s="712"/>
      <c r="H8" s="712"/>
      <c r="I8" s="712"/>
      <c r="J8" s="674"/>
      <c r="K8" s="712"/>
      <c r="L8" s="674"/>
    </row>
    <row r="9" spans="1:17" ht="21">
      <c r="A9" s="1062" t="s">
        <v>1008</v>
      </c>
      <c r="B9" s="739">
        <f>SUM(H200,H215,H231,H246)</f>
        <v>0</v>
      </c>
      <c r="C9" s="694"/>
      <c r="G9" s="712"/>
      <c r="H9" s="712"/>
      <c r="I9" s="712"/>
      <c r="J9" s="674"/>
      <c r="K9" s="712"/>
      <c r="L9" s="674"/>
    </row>
    <row r="10" spans="1:17" ht="21">
      <c r="A10" s="1062" t="s">
        <v>1009</v>
      </c>
      <c r="B10" s="739">
        <f>SUM(I261)</f>
        <v>0</v>
      </c>
      <c r="C10" s="694"/>
      <c r="G10" s="712"/>
      <c r="H10" s="712"/>
      <c r="I10" s="712"/>
      <c r="J10" s="674"/>
      <c r="K10" s="712"/>
      <c r="L10" s="674"/>
    </row>
    <row r="11" spans="1:17" ht="21">
      <c r="A11" s="1062" t="s">
        <v>424</v>
      </c>
      <c r="B11" s="739">
        <f>SUM(B5:B10)</f>
        <v>0</v>
      </c>
      <c r="C11" s="694"/>
      <c r="G11" s="712"/>
      <c r="H11" s="712"/>
      <c r="I11" s="712"/>
      <c r="J11" s="674"/>
      <c r="K11" s="1063"/>
      <c r="L11" s="674"/>
    </row>
    <row r="12" spans="1:17">
      <c r="K12" s="1064"/>
      <c r="L12" s="797"/>
      <c r="M12" s="797"/>
    </row>
    <row r="13" spans="1:17">
      <c r="A13" s="728"/>
      <c r="B13" s="728"/>
      <c r="C13" s="728"/>
      <c r="D13" s="720"/>
      <c r="E13" s="711"/>
      <c r="F13" s="711"/>
      <c r="G13" s="711"/>
      <c r="H13" s="711"/>
      <c r="I13" s="711"/>
      <c r="J13" s="809"/>
      <c r="K13" s="809"/>
    </row>
    <row r="14" spans="1:17" s="743" customFormat="1" ht="23.25">
      <c r="A14" s="2107" t="s">
        <v>1010</v>
      </c>
      <c r="B14" s="2108"/>
      <c r="C14" s="2108"/>
      <c r="D14" s="2108"/>
      <c r="E14" s="2108"/>
      <c r="F14" s="2108"/>
      <c r="G14" s="2108"/>
      <c r="H14" s="2108"/>
      <c r="I14" s="2108"/>
      <c r="J14" s="2108"/>
      <c r="K14" s="2108"/>
      <c r="L14" s="2108"/>
      <c r="M14" s="2108"/>
      <c r="N14" s="2108"/>
      <c r="O14" s="995"/>
      <c r="P14" s="995"/>
      <c r="Q14" s="995"/>
    </row>
    <row r="15" spans="1:17" s="743" customFormat="1" ht="23.25">
      <c r="A15" s="1065"/>
      <c r="B15" s="994"/>
      <c r="C15" s="994"/>
      <c r="D15" s="2007" t="s">
        <v>427</v>
      </c>
      <c r="E15" s="2008"/>
      <c r="F15" s="994"/>
      <c r="G15" s="994"/>
      <c r="H15" s="994"/>
      <c r="I15" s="994"/>
      <c r="J15" s="995"/>
      <c r="K15" s="995"/>
      <c r="L15" s="995"/>
      <c r="M15" s="995"/>
      <c r="N15" s="995"/>
      <c r="O15" s="995"/>
      <c r="P15" s="995"/>
      <c r="Q15" s="995"/>
    </row>
    <row r="16" spans="1:17" s="743" customFormat="1" ht="24" thickBot="1">
      <c r="A16" s="2104" t="s">
        <v>1011</v>
      </c>
      <c r="B16" s="2105"/>
      <c r="C16" s="2105"/>
      <c r="D16" s="2105"/>
      <c r="E16" s="2105"/>
      <c r="F16" s="2105"/>
      <c r="G16" s="2105"/>
      <c r="H16" s="2105"/>
      <c r="I16" s="2105"/>
      <c r="J16" s="2106"/>
    </row>
    <row r="17" spans="1:14" s="744" customFormat="1" ht="56.25">
      <c r="A17" s="1066" t="s">
        <v>1012</v>
      </c>
      <c r="B17" s="1066" t="s">
        <v>1013</v>
      </c>
      <c r="C17" s="1066" t="s">
        <v>1014</v>
      </c>
      <c r="D17" s="1067" t="s">
        <v>1015</v>
      </c>
      <c r="E17" s="1068" t="s">
        <v>1016</v>
      </c>
      <c r="F17" s="1068" t="s">
        <v>1017</v>
      </c>
      <c r="G17" s="1069" t="s">
        <v>1018</v>
      </c>
      <c r="H17" s="1070" t="s">
        <v>721</v>
      </c>
      <c r="I17" s="882"/>
      <c r="J17" s="882"/>
      <c r="K17" s="882"/>
      <c r="L17" s="882"/>
      <c r="M17" s="882"/>
      <c r="N17" s="882"/>
    </row>
    <row r="18" spans="1:14">
      <c r="A18" s="768"/>
      <c r="B18" s="997"/>
      <c r="C18" s="997"/>
      <c r="D18" s="1036">
        <f>SUM(B18*0.001)*C18</f>
        <v>0</v>
      </c>
      <c r="E18" s="1071">
        <f>'Emission Factors'!$F$507*D18*0.001</f>
        <v>0</v>
      </c>
      <c r="F18" s="764">
        <f>'Emission Factors'!$G$507*D18*0.001</f>
        <v>0</v>
      </c>
      <c r="G18" s="764">
        <f>'Emission Factors'!$E$507*D18*0.001</f>
        <v>0</v>
      </c>
      <c r="H18" s="822">
        <f>SUM(G18,F18,E18)</f>
        <v>0</v>
      </c>
    </row>
    <row r="19" spans="1:14">
      <c r="A19" s="768"/>
      <c r="B19" s="997"/>
      <c r="C19" s="997"/>
      <c r="D19" s="1036">
        <f t="shared" ref="D19:D27" si="0">SUM(B19*0.001)*C19</f>
        <v>0</v>
      </c>
      <c r="E19" s="1071">
        <f>'Emission Factors'!$F$507*D19*0.001</f>
        <v>0</v>
      </c>
      <c r="F19" s="764">
        <f>'Emission Factors'!$G$507*D19*0.001</f>
        <v>0</v>
      </c>
      <c r="G19" s="764">
        <f>'Emission Factors'!$E$507*D19*0.001</f>
        <v>0</v>
      </c>
      <c r="H19" s="822">
        <f t="shared" ref="H19:H27" si="1">SUM(G19,F19,E19)</f>
        <v>0</v>
      </c>
    </row>
    <row r="20" spans="1:14">
      <c r="A20" s="768"/>
      <c r="B20" s="997"/>
      <c r="C20" s="997"/>
      <c r="D20" s="1036">
        <f t="shared" si="0"/>
        <v>0</v>
      </c>
      <c r="E20" s="1071">
        <f>'Emission Factors'!$F$507*D20*0.001</f>
        <v>0</v>
      </c>
      <c r="F20" s="764">
        <f>'Emission Factors'!$G$507*D20*0.001</f>
        <v>0</v>
      </c>
      <c r="G20" s="764">
        <f>'Emission Factors'!$E$507*D20*0.001</f>
        <v>0</v>
      </c>
      <c r="H20" s="822">
        <f t="shared" si="1"/>
        <v>0</v>
      </c>
    </row>
    <row r="21" spans="1:14">
      <c r="A21" s="768"/>
      <c r="B21" s="997"/>
      <c r="C21" s="997"/>
      <c r="D21" s="1036">
        <f t="shared" si="0"/>
        <v>0</v>
      </c>
      <c r="E21" s="1071">
        <f>'Emission Factors'!$F$507*D21*0.001</f>
        <v>0</v>
      </c>
      <c r="F21" s="764">
        <f>'Emission Factors'!$G$507*D21*0.001</f>
        <v>0</v>
      </c>
      <c r="G21" s="764">
        <f>'Emission Factors'!$E$507*D21*0.001</f>
        <v>0</v>
      </c>
      <c r="H21" s="822">
        <f t="shared" si="1"/>
        <v>0</v>
      </c>
    </row>
    <row r="22" spans="1:14">
      <c r="A22" s="768"/>
      <c r="B22" s="997"/>
      <c r="C22" s="997"/>
      <c r="D22" s="1036">
        <f t="shared" si="0"/>
        <v>0</v>
      </c>
      <c r="E22" s="1071">
        <f>'Emission Factors'!$F$507*D22*0.001</f>
        <v>0</v>
      </c>
      <c r="F22" s="764">
        <f>'Emission Factors'!$G$507*D22*0.001</f>
        <v>0</v>
      </c>
      <c r="G22" s="764">
        <f>'Emission Factors'!$E$507*D22*0.001</f>
        <v>0</v>
      </c>
      <c r="H22" s="822">
        <f t="shared" si="1"/>
        <v>0</v>
      </c>
    </row>
    <row r="23" spans="1:14">
      <c r="A23" s="768"/>
      <c r="B23" s="997"/>
      <c r="C23" s="997"/>
      <c r="D23" s="1036">
        <f t="shared" si="0"/>
        <v>0</v>
      </c>
      <c r="E23" s="1071">
        <f>'Emission Factors'!$F$507*D23*0.001</f>
        <v>0</v>
      </c>
      <c r="F23" s="764">
        <f>'Emission Factors'!$G$507*D23*0.001</f>
        <v>0</v>
      </c>
      <c r="G23" s="764">
        <f>'Emission Factors'!$E$507*D23*0.001</f>
        <v>0</v>
      </c>
      <c r="H23" s="822">
        <f t="shared" si="1"/>
        <v>0</v>
      </c>
    </row>
    <row r="24" spans="1:14">
      <c r="A24" s="768"/>
      <c r="B24" s="997"/>
      <c r="C24" s="997"/>
      <c r="D24" s="1036">
        <f t="shared" si="0"/>
        <v>0</v>
      </c>
      <c r="E24" s="1071">
        <f>'Emission Factors'!$F$507*D24*0.001</f>
        <v>0</v>
      </c>
      <c r="F24" s="764">
        <f>'Emission Factors'!$G$507*D24*0.001</f>
        <v>0</v>
      </c>
      <c r="G24" s="764">
        <f>'Emission Factors'!$E$507*D24*0.001</f>
        <v>0</v>
      </c>
      <c r="H24" s="822">
        <f t="shared" si="1"/>
        <v>0</v>
      </c>
    </row>
    <row r="25" spans="1:14">
      <c r="A25" s="768"/>
      <c r="B25" s="997"/>
      <c r="C25" s="997"/>
      <c r="D25" s="1036">
        <f t="shared" si="0"/>
        <v>0</v>
      </c>
      <c r="E25" s="1071">
        <f>'Emission Factors'!$F$507*D25*0.001</f>
        <v>0</v>
      </c>
      <c r="F25" s="764">
        <f>'Emission Factors'!$G$507*D25*0.001</f>
        <v>0</v>
      </c>
      <c r="G25" s="764">
        <f>'Emission Factors'!$E$507*D25*0.001</f>
        <v>0</v>
      </c>
      <c r="H25" s="822">
        <f t="shared" si="1"/>
        <v>0</v>
      </c>
    </row>
    <row r="26" spans="1:14">
      <c r="A26" s="768"/>
      <c r="B26" s="997"/>
      <c r="C26" s="997"/>
      <c r="D26" s="1036">
        <f t="shared" si="0"/>
        <v>0</v>
      </c>
      <c r="E26" s="1071">
        <f>'Emission Factors'!$F$507*D26*0.001</f>
        <v>0</v>
      </c>
      <c r="F26" s="764">
        <f>'Emission Factors'!$G$507*D26*0.001</f>
        <v>0</v>
      </c>
      <c r="G26" s="764">
        <f>'Emission Factors'!$E$507*D26*0.001</f>
        <v>0</v>
      </c>
      <c r="H26" s="822">
        <f t="shared" si="1"/>
        <v>0</v>
      </c>
    </row>
    <row r="27" spans="1:14" ht="16.5" thickBot="1">
      <c r="A27" s="768"/>
      <c r="B27" s="997"/>
      <c r="C27" s="997"/>
      <c r="D27" s="1036">
        <f t="shared" si="0"/>
        <v>0</v>
      </c>
      <c r="E27" s="1071">
        <f>'Emission Factors'!$F$507*D27*0.001</f>
        <v>0</v>
      </c>
      <c r="F27" s="764">
        <f>'Emission Factors'!$G$507*D27*0.001</f>
        <v>0</v>
      </c>
      <c r="G27" s="1072">
        <f>'Emission Factors'!$E$507*D27*0.001</f>
        <v>0</v>
      </c>
      <c r="H27" s="1073">
        <f t="shared" si="1"/>
        <v>0</v>
      </c>
    </row>
    <row r="28" spans="1:14" ht="16.5" thickBot="1">
      <c r="A28" s="720" t="s">
        <v>1019</v>
      </c>
      <c r="B28" s="1074"/>
      <c r="C28" s="1074"/>
      <c r="E28" s="711"/>
      <c r="F28" s="711"/>
      <c r="G28" s="760" t="s">
        <v>434</v>
      </c>
      <c r="H28" s="762">
        <f>SUM(H18:H27)</f>
        <v>0</v>
      </c>
      <c r="I28" s="711"/>
      <c r="J28" s="809"/>
      <c r="K28" s="809"/>
    </row>
    <row r="29" spans="1:14">
      <c r="A29" s="720"/>
      <c r="B29" s="1074"/>
      <c r="C29" s="1074"/>
      <c r="E29" s="711"/>
      <c r="F29" s="711"/>
      <c r="G29" s="711"/>
      <c r="H29" s="711"/>
      <c r="I29" s="711"/>
      <c r="J29" s="809"/>
      <c r="K29" s="809"/>
    </row>
    <row r="30" spans="1:14" s="743" customFormat="1" ht="23.25">
      <c r="A30" s="1075"/>
      <c r="B30" s="1075"/>
      <c r="C30" s="1075"/>
      <c r="D30" s="2007" t="s">
        <v>427</v>
      </c>
      <c r="E30" s="2008"/>
      <c r="F30" s="926"/>
      <c r="G30" s="926"/>
      <c r="H30" s="926"/>
      <c r="I30" s="926"/>
      <c r="J30" s="911"/>
      <c r="K30" s="911"/>
    </row>
    <row r="31" spans="1:14" s="743" customFormat="1" ht="24" thickBot="1">
      <c r="A31" s="2102" t="s">
        <v>1020</v>
      </c>
      <c r="B31" s="2103"/>
      <c r="C31" s="2103"/>
      <c r="D31" s="2103"/>
      <c r="E31" s="2103"/>
      <c r="F31" s="2103"/>
      <c r="G31" s="2103"/>
      <c r="H31" s="2103"/>
      <c r="I31" s="2103"/>
      <c r="J31" s="2103"/>
      <c r="K31" s="2103"/>
    </row>
    <row r="32" spans="1:14" s="744" customFormat="1" ht="56.25">
      <c r="A32" s="1066" t="s">
        <v>1012</v>
      </c>
      <c r="B32" s="1066" t="s">
        <v>1021</v>
      </c>
      <c r="C32" s="1066" t="s">
        <v>1014</v>
      </c>
      <c r="D32" s="1067" t="s">
        <v>1022</v>
      </c>
      <c r="E32" s="1068" t="s">
        <v>1016</v>
      </c>
      <c r="F32" s="1068" t="s">
        <v>1017</v>
      </c>
      <c r="G32" s="1069" t="s">
        <v>1018</v>
      </c>
      <c r="H32" s="1070" t="s">
        <v>721</v>
      </c>
      <c r="I32" s="882"/>
    </row>
    <row r="33" spans="1:11">
      <c r="A33" s="768"/>
      <c r="B33" s="997"/>
      <c r="C33" s="997"/>
      <c r="D33" s="1036">
        <f>SUM(B33/1000)*C33</f>
        <v>0</v>
      </c>
      <c r="E33" s="1071">
        <f>'Emission Factors'!$J$463*D33*0.001</f>
        <v>0</v>
      </c>
      <c r="F33" s="1071">
        <f>'Emission Factors'!$K$463*D33*0.001</f>
        <v>0</v>
      </c>
      <c r="G33" s="764">
        <f>'Emission Factors'!$I$463*D33*0.001</f>
        <v>0</v>
      </c>
      <c r="H33" s="822">
        <f>SUM(G33,F33,E33)</f>
        <v>0</v>
      </c>
    </row>
    <row r="34" spans="1:11">
      <c r="A34" s="768"/>
      <c r="B34" s="997"/>
      <c r="C34" s="997"/>
      <c r="D34" s="1036">
        <f t="shared" ref="D34:D42" si="2">SUM(B34/1000)*C34</f>
        <v>0</v>
      </c>
      <c r="E34" s="1071">
        <f>'Emission Factors'!$J$463*D34*0.001</f>
        <v>0</v>
      </c>
      <c r="F34" s="1071">
        <f>'Emission Factors'!$K$463*D34*0.001</f>
        <v>0</v>
      </c>
      <c r="G34" s="764">
        <f>'Emission Factors'!$I$463*D34*0.001</f>
        <v>0</v>
      </c>
      <c r="H34" s="822">
        <f t="shared" ref="H34:H42" si="3">SUM(G34,F34,E34)</f>
        <v>0</v>
      </c>
    </row>
    <row r="35" spans="1:11">
      <c r="A35" s="768"/>
      <c r="B35" s="997"/>
      <c r="C35" s="997"/>
      <c r="D35" s="1036">
        <f t="shared" si="2"/>
        <v>0</v>
      </c>
      <c r="E35" s="1071">
        <f>'Emission Factors'!$J$463*D35*0.001</f>
        <v>0</v>
      </c>
      <c r="F35" s="1071">
        <f>'Emission Factors'!$K$463*D35*0.001</f>
        <v>0</v>
      </c>
      <c r="G35" s="764">
        <f>'Emission Factors'!$I$463*D35*0.001</f>
        <v>0</v>
      </c>
      <c r="H35" s="822">
        <f t="shared" si="3"/>
        <v>0</v>
      </c>
    </row>
    <row r="36" spans="1:11">
      <c r="A36" s="768"/>
      <c r="B36" s="997"/>
      <c r="C36" s="997"/>
      <c r="D36" s="1036">
        <f t="shared" si="2"/>
        <v>0</v>
      </c>
      <c r="E36" s="1071">
        <f>'Emission Factors'!$J$463*D36*0.001</f>
        <v>0</v>
      </c>
      <c r="F36" s="1071">
        <f>'Emission Factors'!$K$463*D36*0.001</f>
        <v>0</v>
      </c>
      <c r="G36" s="764">
        <f>'Emission Factors'!$I$463*D36*0.001</f>
        <v>0</v>
      </c>
      <c r="H36" s="822">
        <f t="shared" si="3"/>
        <v>0</v>
      </c>
    </row>
    <row r="37" spans="1:11">
      <c r="A37" s="768"/>
      <c r="B37" s="997"/>
      <c r="C37" s="997"/>
      <c r="D37" s="1036">
        <f t="shared" si="2"/>
        <v>0</v>
      </c>
      <c r="E37" s="1071">
        <f>'Emission Factors'!$J$463*D37*0.001</f>
        <v>0</v>
      </c>
      <c r="F37" s="1071">
        <f>'Emission Factors'!$K$463*D37*0.001</f>
        <v>0</v>
      </c>
      <c r="G37" s="764">
        <f>'Emission Factors'!$I$463*D37*0.001</f>
        <v>0</v>
      </c>
      <c r="H37" s="822">
        <f t="shared" si="3"/>
        <v>0</v>
      </c>
    </row>
    <row r="38" spans="1:11">
      <c r="A38" s="768"/>
      <c r="B38" s="997"/>
      <c r="C38" s="997"/>
      <c r="D38" s="1036">
        <f t="shared" si="2"/>
        <v>0</v>
      </c>
      <c r="E38" s="1071">
        <f>'Emission Factors'!$J$463*D38*0.001</f>
        <v>0</v>
      </c>
      <c r="F38" s="1071">
        <f>'Emission Factors'!$K$463*D38*0.001</f>
        <v>0</v>
      </c>
      <c r="G38" s="764">
        <f>'Emission Factors'!$I$463*D38*0.001</f>
        <v>0</v>
      </c>
      <c r="H38" s="822">
        <f t="shared" si="3"/>
        <v>0</v>
      </c>
    </row>
    <row r="39" spans="1:11">
      <c r="A39" s="768"/>
      <c r="B39" s="997"/>
      <c r="C39" s="997"/>
      <c r="D39" s="1036">
        <f t="shared" si="2"/>
        <v>0</v>
      </c>
      <c r="E39" s="1071">
        <f>'Emission Factors'!$J$463*D39*0.001</f>
        <v>0</v>
      </c>
      <c r="F39" s="1071">
        <f>'Emission Factors'!$K$463*D39*0.001</f>
        <v>0</v>
      </c>
      <c r="G39" s="764">
        <f>'Emission Factors'!$I$463*D39*0.001</f>
        <v>0</v>
      </c>
      <c r="H39" s="822">
        <f t="shared" si="3"/>
        <v>0</v>
      </c>
    </row>
    <row r="40" spans="1:11">
      <c r="A40" s="768"/>
      <c r="B40" s="997"/>
      <c r="C40" s="997"/>
      <c r="D40" s="1036">
        <f t="shared" si="2"/>
        <v>0</v>
      </c>
      <c r="E40" s="1071">
        <f>'Emission Factors'!$J$463*D40*0.001</f>
        <v>0</v>
      </c>
      <c r="F40" s="1071">
        <f>'Emission Factors'!$K$463*D40*0.001</f>
        <v>0</v>
      </c>
      <c r="G40" s="764">
        <f>'Emission Factors'!$I$463*D40*0.001</f>
        <v>0</v>
      </c>
      <c r="H40" s="822">
        <f t="shared" si="3"/>
        <v>0</v>
      </c>
    </row>
    <row r="41" spans="1:11">
      <c r="A41" s="768"/>
      <c r="B41" s="997"/>
      <c r="C41" s="997"/>
      <c r="D41" s="1036">
        <f t="shared" si="2"/>
        <v>0</v>
      </c>
      <c r="E41" s="1071">
        <f>'Emission Factors'!$J$463*D41*0.001</f>
        <v>0</v>
      </c>
      <c r="F41" s="1071">
        <f>'Emission Factors'!$K$463*D41*0.001</f>
        <v>0</v>
      </c>
      <c r="G41" s="764">
        <f>'Emission Factors'!$I$463*D41*0.001</f>
        <v>0</v>
      </c>
      <c r="H41" s="822">
        <f t="shared" si="3"/>
        <v>0</v>
      </c>
    </row>
    <row r="42" spans="1:11" ht="16.5" thickBot="1">
      <c r="A42" s="768"/>
      <c r="B42" s="997"/>
      <c r="C42" s="997"/>
      <c r="D42" s="1036">
        <f t="shared" si="2"/>
        <v>0</v>
      </c>
      <c r="E42" s="1071">
        <f>'Emission Factors'!$J$463*D42*0.001</f>
        <v>0</v>
      </c>
      <c r="F42" s="1071">
        <f>'Emission Factors'!$K$463*D42*0.001</f>
        <v>0</v>
      </c>
      <c r="G42" s="764">
        <f>'Emission Factors'!$I$463*D42*0.001</f>
        <v>0</v>
      </c>
      <c r="H42" s="1073">
        <f t="shared" si="3"/>
        <v>0</v>
      </c>
    </row>
    <row r="43" spans="1:11" ht="16.5" thickBot="1">
      <c r="A43" s="720" t="s">
        <v>1023</v>
      </c>
      <c r="B43" s="728"/>
      <c r="C43" s="728"/>
      <c r="D43" s="720"/>
      <c r="E43" s="711"/>
      <c r="F43" s="711"/>
      <c r="G43" s="760" t="s">
        <v>434</v>
      </c>
      <c r="H43" s="762">
        <f>SUM(H33:H42)</f>
        <v>0</v>
      </c>
      <c r="I43" s="711"/>
      <c r="J43" s="809"/>
    </row>
    <row r="44" spans="1:11">
      <c r="A44" s="728"/>
      <c r="B44" s="728"/>
      <c r="C44" s="728"/>
      <c r="D44" s="720"/>
      <c r="E44" s="711"/>
      <c r="F44" s="711"/>
      <c r="G44" s="711"/>
      <c r="H44" s="711"/>
      <c r="I44" s="711"/>
      <c r="J44" s="809"/>
      <c r="K44" s="809"/>
    </row>
    <row r="45" spans="1:11" s="743" customFormat="1" ht="23.25">
      <c r="A45" s="1076"/>
      <c r="B45" s="1076"/>
      <c r="C45" s="1076"/>
      <c r="D45" s="2007" t="s">
        <v>427</v>
      </c>
      <c r="E45" s="2008"/>
      <c r="F45" s="926"/>
      <c r="G45" s="926"/>
      <c r="H45" s="926"/>
      <c r="I45" s="926"/>
      <c r="J45" s="911"/>
      <c r="K45" s="911"/>
    </row>
    <row r="46" spans="1:11" s="743" customFormat="1" ht="24" thickBot="1">
      <c r="A46" s="2102" t="s">
        <v>1024</v>
      </c>
      <c r="B46" s="2103"/>
      <c r="C46" s="2103"/>
      <c r="D46" s="2103"/>
      <c r="E46" s="2103"/>
      <c r="F46" s="2103"/>
      <c r="G46" s="2103"/>
      <c r="H46" s="2103"/>
      <c r="I46" s="2103"/>
      <c r="J46" s="2103"/>
      <c r="K46" s="2103"/>
    </row>
    <row r="47" spans="1:11" s="744" customFormat="1" ht="56.25">
      <c r="A47" s="1066" t="s">
        <v>1012</v>
      </c>
      <c r="B47" s="1066" t="s">
        <v>1021</v>
      </c>
      <c r="C47" s="1066" t="s">
        <v>1014</v>
      </c>
      <c r="D47" s="1067" t="s">
        <v>1022</v>
      </c>
      <c r="E47" s="1068" t="s">
        <v>1016</v>
      </c>
      <c r="F47" s="1068" t="s">
        <v>1017</v>
      </c>
      <c r="G47" s="1069" t="s">
        <v>1018</v>
      </c>
      <c r="H47" s="1070" t="s">
        <v>721</v>
      </c>
      <c r="I47" s="882"/>
    </row>
    <row r="48" spans="1:11">
      <c r="A48" s="768"/>
      <c r="B48" s="768"/>
      <c r="C48" s="997"/>
      <c r="D48" s="1036">
        <f t="shared" ref="D48:D58" si="4">SUM(B48*0.001)*C48</f>
        <v>0</v>
      </c>
      <c r="E48" s="1071">
        <f>'Emission Factors'!$F$362*D48*0.001</f>
        <v>0</v>
      </c>
      <c r="F48" s="1071">
        <f>'Emission Factors'!$G$362*$D48*0.001</f>
        <v>0</v>
      </c>
      <c r="G48" s="1071">
        <f>'Emission Factors'!$E$362*$D48*0.001</f>
        <v>0</v>
      </c>
      <c r="H48" s="822">
        <f t="shared" ref="H48:H51" si="5">SUM(G48,F48,E48)</f>
        <v>0</v>
      </c>
    </row>
    <row r="49" spans="1:11">
      <c r="A49" s="1077"/>
      <c r="B49" s="1078"/>
      <c r="C49" s="1078"/>
      <c r="D49" s="1036">
        <f t="shared" si="4"/>
        <v>0</v>
      </c>
      <c r="E49" s="1071">
        <f>'Emission Factors'!$F$362*D49*0.001</f>
        <v>0</v>
      </c>
      <c r="F49" s="1071">
        <f>'Emission Factors'!$G$362*$D49*0.001</f>
        <v>0</v>
      </c>
      <c r="G49" s="1071">
        <f>'Emission Factors'!$E$362*$D49*0.001</f>
        <v>0</v>
      </c>
      <c r="H49" s="822">
        <f t="shared" si="5"/>
        <v>0</v>
      </c>
    </row>
    <row r="50" spans="1:11">
      <c r="A50" s="768"/>
      <c r="B50" s="1078"/>
      <c r="C50" s="1078"/>
      <c r="D50" s="1036">
        <f t="shared" si="4"/>
        <v>0</v>
      </c>
      <c r="E50" s="1071">
        <f>'Emission Factors'!$F$362*D50*0.001</f>
        <v>0</v>
      </c>
      <c r="F50" s="1071">
        <f>'Emission Factors'!$G$362*$D50*0.001</f>
        <v>0</v>
      </c>
      <c r="G50" s="1071">
        <f>'Emission Factors'!$E$362*$D50*0.001</f>
        <v>0</v>
      </c>
      <c r="H50" s="822">
        <f t="shared" si="5"/>
        <v>0</v>
      </c>
    </row>
    <row r="51" spans="1:11">
      <c r="A51" s="1077"/>
      <c r="B51" s="1078"/>
      <c r="C51" s="1078"/>
      <c r="D51" s="1036">
        <f t="shared" si="4"/>
        <v>0</v>
      </c>
      <c r="E51" s="1071">
        <f>'Emission Factors'!$F$362*D51*0.001</f>
        <v>0</v>
      </c>
      <c r="F51" s="1071">
        <f>'Emission Factors'!$G$362*$D51*0.001</f>
        <v>0</v>
      </c>
      <c r="G51" s="1071">
        <f>'Emission Factors'!$E$362*$D51*0.001</f>
        <v>0</v>
      </c>
      <c r="H51" s="822">
        <f t="shared" si="5"/>
        <v>0</v>
      </c>
    </row>
    <row r="52" spans="1:11">
      <c r="A52" s="1077"/>
      <c r="B52" s="1078"/>
      <c r="C52" s="1078"/>
      <c r="D52" s="1036">
        <f t="shared" si="4"/>
        <v>0</v>
      </c>
      <c r="E52" s="1071">
        <f>'Emission Factors'!$F$362*D52*0.001</f>
        <v>0</v>
      </c>
      <c r="F52" s="1071">
        <f>'Emission Factors'!$G$362*$D52*0.001</f>
        <v>0</v>
      </c>
      <c r="G52" s="1071">
        <f>'Emission Factors'!$E$362*$D52*0.001</f>
        <v>0</v>
      </c>
      <c r="H52" s="822">
        <f t="shared" ref="H52:H57" si="6">SUM(G52,F52,E52)</f>
        <v>0</v>
      </c>
    </row>
    <row r="53" spans="1:11">
      <c r="A53" s="1077"/>
      <c r="B53" s="1078"/>
      <c r="C53" s="1078"/>
      <c r="D53" s="1036">
        <f t="shared" si="4"/>
        <v>0</v>
      </c>
      <c r="E53" s="1071">
        <f>'Emission Factors'!$F$362*D53*0.001</f>
        <v>0</v>
      </c>
      <c r="F53" s="1071">
        <f>'Emission Factors'!$G$362*$D53*0.001</f>
        <v>0</v>
      </c>
      <c r="G53" s="1071">
        <f>'Emission Factors'!$E$362*$D53*0.001</f>
        <v>0</v>
      </c>
      <c r="H53" s="822">
        <f t="shared" si="6"/>
        <v>0</v>
      </c>
    </row>
    <row r="54" spans="1:11">
      <c r="A54" s="1077"/>
      <c r="B54" s="1078"/>
      <c r="C54" s="1078"/>
      <c r="D54" s="1036">
        <f t="shared" si="4"/>
        <v>0</v>
      </c>
      <c r="E54" s="1071">
        <f>'Emission Factors'!$F$362*D54*0.001</f>
        <v>0</v>
      </c>
      <c r="F54" s="1071">
        <f>'Emission Factors'!$G$362*$D54*0.001</f>
        <v>0</v>
      </c>
      <c r="G54" s="1071">
        <f>'Emission Factors'!$E$362*$D54*0.001</f>
        <v>0</v>
      </c>
      <c r="H54" s="822">
        <f t="shared" si="6"/>
        <v>0</v>
      </c>
    </row>
    <row r="55" spans="1:11">
      <c r="A55" s="1077"/>
      <c r="B55" s="1078"/>
      <c r="C55" s="1078"/>
      <c r="D55" s="1036">
        <f t="shared" si="4"/>
        <v>0</v>
      </c>
      <c r="E55" s="1071">
        <f>'Emission Factors'!$F$362*D55*0.001</f>
        <v>0</v>
      </c>
      <c r="F55" s="1071">
        <f>'Emission Factors'!$G$362*$D55*0.001</f>
        <v>0</v>
      </c>
      <c r="G55" s="1071">
        <f>'Emission Factors'!$E$362*$D55*0.001</f>
        <v>0</v>
      </c>
      <c r="H55" s="822">
        <f t="shared" si="6"/>
        <v>0</v>
      </c>
    </row>
    <row r="56" spans="1:11">
      <c r="A56" s="1077"/>
      <c r="B56" s="1078"/>
      <c r="C56" s="1078"/>
      <c r="D56" s="1036">
        <f t="shared" si="4"/>
        <v>0</v>
      </c>
      <c r="E56" s="1071">
        <f>'Emission Factors'!$F$362*D56*0.001</f>
        <v>0</v>
      </c>
      <c r="F56" s="1071">
        <f>'Emission Factors'!$G$362*$D56*0.001</f>
        <v>0</v>
      </c>
      <c r="G56" s="1071">
        <f>'Emission Factors'!$E$362*$D56*0.001</f>
        <v>0</v>
      </c>
      <c r="H56" s="822">
        <f t="shared" si="6"/>
        <v>0</v>
      </c>
    </row>
    <row r="57" spans="1:11">
      <c r="A57" s="768"/>
      <c r="B57" s="997"/>
      <c r="C57" s="997"/>
      <c r="D57" s="1036">
        <f t="shared" si="4"/>
        <v>0</v>
      </c>
      <c r="E57" s="1071">
        <f>'Emission Factors'!$F$362*D57*0.001</f>
        <v>0</v>
      </c>
      <c r="F57" s="1071">
        <f>'Emission Factors'!$G$362*$D57*0.001</f>
        <v>0</v>
      </c>
      <c r="G57" s="1071">
        <f>'Emission Factors'!$E$362*$D57*0.001</f>
        <v>0</v>
      </c>
      <c r="H57" s="1073">
        <f t="shared" si="6"/>
        <v>0</v>
      </c>
    </row>
    <row r="58" spans="1:11" ht="16.5" thickBot="1">
      <c r="A58" s="768"/>
      <c r="B58" s="997"/>
      <c r="C58" s="997"/>
      <c r="D58" s="1036">
        <f t="shared" si="4"/>
        <v>0</v>
      </c>
      <c r="E58" s="1071">
        <f>'Emission Factors'!$F$362*D58*0.001</f>
        <v>0</v>
      </c>
      <c r="F58" s="1071">
        <f>'Emission Factors'!$G$362*$D58*0.001</f>
        <v>0</v>
      </c>
      <c r="G58" s="1071">
        <f>'Emission Factors'!$E$362*$D58*0.001</f>
        <v>0</v>
      </c>
      <c r="H58" s="822">
        <f>SUM(G58,F58,E58)</f>
        <v>0</v>
      </c>
    </row>
    <row r="59" spans="1:11" ht="16.5" thickBot="1">
      <c r="A59" s="720" t="s">
        <v>1025</v>
      </c>
      <c r="B59" s="728"/>
      <c r="C59" s="728"/>
      <c r="D59" s="720"/>
      <c r="E59" s="711"/>
      <c r="F59" s="711"/>
      <c r="G59" s="760" t="s">
        <v>434</v>
      </c>
      <c r="H59" s="760">
        <f>SUM(H48:H58)</f>
        <v>0</v>
      </c>
      <c r="I59" s="711"/>
      <c r="J59" s="809"/>
    </row>
    <row r="60" spans="1:11">
      <c r="A60" s="728"/>
      <c r="B60" s="728"/>
      <c r="C60" s="728"/>
      <c r="D60" s="720"/>
      <c r="E60" s="711"/>
      <c r="J60" s="809"/>
      <c r="K60" s="809"/>
    </row>
    <row r="61" spans="1:11" s="743" customFormat="1" ht="23.25">
      <c r="A61" s="1076"/>
      <c r="B61" s="1076"/>
      <c r="C61" s="1076"/>
      <c r="D61" s="2007" t="s">
        <v>427</v>
      </c>
      <c r="E61" s="2008"/>
      <c r="F61" s="711"/>
      <c r="G61" s="711"/>
      <c r="H61" s="711"/>
      <c r="I61" s="711"/>
      <c r="J61" s="911"/>
      <c r="K61" s="911"/>
    </row>
    <row r="62" spans="1:11" s="743" customFormat="1" ht="23.45" customHeight="1" thickBot="1">
      <c r="A62" s="2102" t="s">
        <v>1026</v>
      </c>
      <c r="B62" s="2103"/>
      <c r="C62" s="2103"/>
      <c r="D62" s="2103"/>
      <c r="E62" s="2103"/>
      <c r="F62" s="2103"/>
      <c r="G62" s="2103"/>
      <c r="H62" s="2103"/>
      <c r="I62" s="2103"/>
      <c r="J62" s="2103"/>
      <c r="K62" s="2103"/>
    </row>
    <row r="63" spans="1:11" s="744" customFormat="1" ht="56.25">
      <c r="A63" s="1066" t="s">
        <v>1012</v>
      </c>
      <c r="B63" s="1066" t="s">
        <v>1021</v>
      </c>
      <c r="C63" s="1066" t="s">
        <v>1014</v>
      </c>
      <c r="D63" s="1067" t="s">
        <v>1022</v>
      </c>
      <c r="E63" s="1068" t="s">
        <v>1016</v>
      </c>
      <c r="F63" s="1068" t="s">
        <v>1017</v>
      </c>
      <c r="G63" s="1069" t="s">
        <v>1018</v>
      </c>
      <c r="H63" s="1070" t="s">
        <v>721</v>
      </c>
      <c r="I63" s="882"/>
    </row>
    <row r="64" spans="1:11">
      <c r="A64" s="768"/>
      <c r="B64" s="997"/>
      <c r="C64" s="997"/>
      <c r="D64" s="1036">
        <f>SUM(B64*0.001)*C64</f>
        <v>0</v>
      </c>
      <c r="E64" s="1071">
        <f>'Emission Factors'!$F$470*$D64*0.001</f>
        <v>0</v>
      </c>
      <c r="F64" s="1071">
        <f>'Emission Factors'!$G$470*$D64*0.001</f>
        <v>0</v>
      </c>
      <c r="G64" s="1071">
        <f>'Emission Factors'!$E$470*$D64*0.001</f>
        <v>0</v>
      </c>
      <c r="H64" s="822">
        <f>SUM(G64,F64,E64)</f>
        <v>0</v>
      </c>
    </row>
    <row r="65" spans="1:17">
      <c r="A65" s="768"/>
      <c r="B65" s="997"/>
      <c r="C65" s="997"/>
      <c r="D65" s="1036">
        <f t="shared" ref="D65:D73" si="7">SUM(B65*0.001)*C65</f>
        <v>0</v>
      </c>
      <c r="E65" s="1071">
        <f>'Emission Factors'!$F$470*$D65*0.001</f>
        <v>0</v>
      </c>
      <c r="F65" s="1071">
        <f>'Emission Factors'!$G$470*$D65*0.001</f>
        <v>0</v>
      </c>
      <c r="G65" s="1071">
        <f>'Emission Factors'!$E$470*$D65*0.001</f>
        <v>0</v>
      </c>
      <c r="H65" s="822">
        <f t="shared" ref="H65:H73" si="8">SUM(G65,F65,E65)</f>
        <v>0</v>
      </c>
    </row>
    <row r="66" spans="1:17">
      <c r="A66" s="768"/>
      <c r="B66" s="997"/>
      <c r="C66" s="997"/>
      <c r="D66" s="1036">
        <f t="shared" si="7"/>
        <v>0</v>
      </c>
      <c r="E66" s="1071">
        <f>'Emission Factors'!$F$470*$D66*0.001</f>
        <v>0</v>
      </c>
      <c r="F66" s="1071">
        <f>'Emission Factors'!$G$470*$D66*0.001</f>
        <v>0</v>
      </c>
      <c r="G66" s="1071">
        <f>'Emission Factors'!$E$470*$D66*0.001</f>
        <v>0</v>
      </c>
      <c r="H66" s="822">
        <f t="shared" si="8"/>
        <v>0</v>
      </c>
    </row>
    <row r="67" spans="1:17">
      <c r="A67" s="768"/>
      <c r="B67" s="997"/>
      <c r="C67" s="997"/>
      <c r="D67" s="1036">
        <f t="shared" si="7"/>
        <v>0</v>
      </c>
      <c r="E67" s="1071">
        <f>'Emission Factors'!$F$470*$D67*0.001</f>
        <v>0</v>
      </c>
      <c r="F67" s="1071">
        <f>'Emission Factors'!$G$470*$D67*0.001</f>
        <v>0</v>
      </c>
      <c r="G67" s="1071">
        <f>'Emission Factors'!$E$470*$D67*0.001</f>
        <v>0</v>
      </c>
      <c r="H67" s="822">
        <f t="shared" si="8"/>
        <v>0</v>
      </c>
    </row>
    <row r="68" spans="1:17">
      <c r="A68" s="768"/>
      <c r="B68" s="997"/>
      <c r="C68" s="997"/>
      <c r="D68" s="1036">
        <f t="shared" si="7"/>
        <v>0</v>
      </c>
      <c r="E68" s="1071">
        <f>'Emission Factors'!$F$470*$D68*0.001</f>
        <v>0</v>
      </c>
      <c r="F68" s="1071">
        <f>'Emission Factors'!$G$470*$D68*0.001</f>
        <v>0</v>
      </c>
      <c r="G68" s="1071">
        <f>'Emission Factors'!$E$470*$D68*0.001</f>
        <v>0</v>
      </c>
      <c r="H68" s="822">
        <f t="shared" si="8"/>
        <v>0</v>
      </c>
    </row>
    <row r="69" spans="1:17">
      <c r="A69" s="768"/>
      <c r="B69" s="997"/>
      <c r="C69" s="997"/>
      <c r="D69" s="1036">
        <f t="shared" si="7"/>
        <v>0</v>
      </c>
      <c r="E69" s="1071">
        <f>'Emission Factors'!$F$470*$D69*0.001</f>
        <v>0</v>
      </c>
      <c r="F69" s="1071">
        <f>'Emission Factors'!$G$470*$D69*0.001</f>
        <v>0</v>
      </c>
      <c r="G69" s="1071">
        <f>'Emission Factors'!$E$470*$D69*0.001</f>
        <v>0</v>
      </c>
      <c r="H69" s="822">
        <f t="shared" si="8"/>
        <v>0</v>
      </c>
    </row>
    <row r="70" spans="1:17">
      <c r="A70" s="768"/>
      <c r="B70" s="997"/>
      <c r="C70" s="997"/>
      <c r="D70" s="1036">
        <f t="shared" si="7"/>
        <v>0</v>
      </c>
      <c r="E70" s="1071">
        <f>'Emission Factors'!$F$470*$D70*0.001</f>
        <v>0</v>
      </c>
      <c r="F70" s="1071">
        <f>'Emission Factors'!$G$470*$D70*0.001</f>
        <v>0</v>
      </c>
      <c r="G70" s="1071">
        <f>'Emission Factors'!$E$470*$D70*0.001</f>
        <v>0</v>
      </c>
      <c r="H70" s="822">
        <f t="shared" si="8"/>
        <v>0</v>
      </c>
    </row>
    <row r="71" spans="1:17">
      <c r="A71" s="768"/>
      <c r="B71" s="997"/>
      <c r="C71" s="997"/>
      <c r="D71" s="1036">
        <f t="shared" si="7"/>
        <v>0</v>
      </c>
      <c r="E71" s="1071">
        <f>'Emission Factors'!$F$470*$D71*0.001</f>
        <v>0</v>
      </c>
      <c r="F71" s="1071">
        <f>'Emission Factors'!$G$470*$D71*0.001</f>
        <v>0</v>
      </c>
      <c r="G71" s="1071">
        <f>'Emission Factors'!$E$470*$D71*0.001</f>
        <v>0</v>
      </c>
      <c r="H71" s="822">
        <f t="shared" si="8"/>
        <v>0</v>
      </c>
    </row>
    <row r="72" spans="1:17">
      <c r="A72" s="768"/>
      <c r="B72" s="997"/>
      <c r="C72" s="997"/>
      <c r="D72" s="1036">
        <f t="shared" si="7"/>
        <v>0</v>
      </c>
      <c r="E72" s="1071">
        <f>'Emission Factors'!$F$470*$D72*0.001</f>
        <v>0</v>
      </c>
      <c r="F72" s="1071">
        <f>'Emission Factors'!$G$470*$D72*0.001</f>
        <v>0</v>
      </c>
      <c r="G72" s="1071">
        <f>'Emission Factors'!$E$470*$D72*0.001</f>
        <v>0</v>
      </c>
      <c r="H72" s="822">
        <f t="shared" si="8"/>
        <v>0</v>
      </c>
    </row>
    <row r="73" spans="1:17" ht="16.5" thickBot="1">
      <c r="A73" s="768"/>
      <c r="B73" s="997"/>
      <c r="C73" s="997"/>
      <c r="D73" s="1036">
        <f t="shared" si="7"/>
        <v>0</v>
      </c>
      <c r="E73" s="1071">
        <f>'Emission Factors'!$F$470*$D73*0.001</f>
        <v>0</v>
      </c>
      <c r="F73" s="1071">
        <f>'Emission Factors'!$G$470*$D73*0.001</f>
        <v>0</v>
      </c>
      <c r="G73" s="1071">
        <f>'Emission Factors'!$E$470*$D73*0.001</f>
        <v>0</v>
      </c>
      <c r="H73" s="1073">
        <f t="shared" si="8"/>
        <v>0</v>
      </c>
    </row>
    <row r="74" spans="1:17" ht="19.5" thickBot="1">
      <c r="A74" s="1079" t="s">
        <v>1027</v>
      </c>
      <c r="B74" s="728"/>
      <c r="C74" s="728"/>
      <c r="D74" s="720"/>
      <c r="E74" s="711"/>
      <c r="F74" s="711"/>
      <c r="G74" s="760" t="s">
        <v>434</v>
      </c>
      <c r="H74" s="762">
        <f>SUM(H64:H73)</f>
        <v>0</v>
      </c>
      <c r="I74" s="711"/>
      <c r="J74" s="809"/>
      <c r="K74" s="809"/>
    </row>
    <row r="75" spans="1:17" ht="18.75">
      <c r="A75" s="1079"/>
      <c r="B75" s="728"/>
      <c r="C75" s="728"/>
      <c r="D75" s="720"/>
      <c r="E75" s="711"/>
      <c r="F75" s="711"/>
      <c r="G75" s="711"/>
      <c r="H75" s="711"/>
      <c r="I75" s="711"/>
      <c r="J75" s="809"/>
      <c r="K75" s="809"/>
    </row>
    <row r="76" spans="1:17" s="743" customFormat="1" ht="23.25">
      <c r="A76" s="2107" t="s">
        <v>1028</v>
      </c>
      <c r="B76" s="2108"/>
      <c r="C76" s="2108"/>
      <c r="D76" s="2108"/>
      <c r="E76" s="2108"/>
      <c r="F76" s="2108"/>
      <c r="G76" s="2108"/>
      <c r="H76" s="2108"/>
      <c r="I76" s="2108"/>
      <c r="J76" s="2108"/>
      <c r="K76" s="2108"/>
      <c r="L76" s="2108"/>
      <c r="M76" s="2108"/>
      <c r="N76" s="2108"/>
      <c r="O76" s="995"/>
      <c r="P76" s="995"/>
      <c r="Q76" s="995"/>
    </row>
    <row r="77" spans="1:17">
      <c r="A77" s="989"/>
      <c r="B77" s="990"/>
      <c r="C77" s="990"/>
      <c r="D77" s="990"/>
      <c r="E77" s="990"/>
      <c r="F77" s="1080"/>
      <c r="G77" s="1080"/>
      <c r="H77" s="1080"/>
      <c r="I77" s="1080"/>
      <c r="J77" s="991"/>
      <c r="K77" s="991"/>
      <c r="L77" s="991"/>
      <c r="M77" s="991"/>
      <c r="N77" s="991"/>
      <c r="O77" s="991"/>
      <c r="P77" s="991"/>
      <c r="Q77" s="991"/>
    </row>
    <row r="78" spans="1:17" s="743" customFormat="1" ht="23.25">
      <c r="A78" s="1076"/>
      <c r="B78" s="1076"/>
      <c r="C78" s="1076"/>
      <c r="D78" s="2007" t="s">
        <v>427</v>
      </c>
      <c r="E78" s="2008"/>
      <c r="F78" s="926"/>
      <c r="G78" s="926"/>
      <c r="H78" s="926"/>
      <c r="I78" s="926"/>
      <c r="J78" s="911"/>
      <c r="K78" s="911"/>
    </row>
    <row r="79" spans="1:17" s="743" customFormat="1" ht="24" customHeight="1" thickBot="1">
      <c r="A79" s="2102" t="s">
        <v>1029</v>
      </c>
      <c r="B79" s="2103"/>
      <c r="C79" s="2103"/>
      <c r="D79" s="2103"/>
      <c r="E79" s="2103"/>
      <c r="F79" s="2103"/>
      <c r="G79" s="2103"/>
      <c r="H79" s="2103"/>
      <c r="I79" s="2103"/>
      <c r="J79" s="2103"/>
      <c r="K79" s="2103"/>
    </row>
    <row r="80" spans="1:17" s="882" customFormat="1" ht="54.75" customHeight="1">
      <c r="A80" s="1066" t="s">
        <v>1012</v>
      </c>
      <c r="B80" s="1066" t="s">
        <v>1021</v>
      </c>
      <c r="C80" s="1066" t="s">
        <v>1014</v>
      </c>
      <c r="D80" s="1067" t="s">
        <v>1022</v>
      </c>
      <c r="E80" s="1068" t="s">
        <v>1016</v>
      </c>
      <c r="F80" s="1068" t="s">
        <v>1017</v>
      </c>
      <c r="G80" s="1069" t="s">
        <v>1018</v>
      </c>
      <c r="H80" s="1070" t="s">
        <v>721</v>
      </c>
    </row>
    <row r="81" spans="1:11">
      <c r="A81" s="768"/>
      <c r="B81" s="997"/>
      <c r="C81" s="997"/>
      <c r="D81" s="1036">
        <f>SUM(B81*0.001)*C81</f>
        <v>0</v>
      </c>
      <c r="E81" s="1071">
        <f>'Emission Factors'!$F$488*$D81*0.001</f>
        <v>0</v>
      </c>
      <c r="F81" s="1071">
        <f>'Emission Factors'!$G$488*$D81*0.001</f>
        <v>0</v>
      </c>
      <c r="G81" s="1071">
        <f>'Emission Factors'!$E$488*$D81*0.001</f>
        <v>0</v>
      </c>
      <c r="H81" s="822">
        <f>SUM(G81,F81,E81)</f>
        <v>0</v>
      </c>
    </row>
    <row r="82" spans="1:11">
      <c r="A82" s="768"/>
      <c r="B82" s="997"/>
      <c r="C82" s="997"/>
      <c r="D82" s="1036">
        <f t="shared" ref="D82:D90" si="9">SUM(B82*0.001)*C82</f>
        <v>0</v>
      </c>
      <c r="E82" s="1071">
        <f>'Emission Factors'!$F$488*$D82*0.001</f>
        <v>0</v>
      </c>
      <c r="F82" s="1071">
        <f>'Emission Factors'!$G$488*$D82*0.001</f>
        <v>0</v>
      </c>
      <c r="G82" s="1071">
        <f>'Emission Factors'!$E$488*$D82*0.001</f>
        <v>0</v>
      </c>
      <c r="H82" s="822">
        <f t="shared" ref="H82:H89" si="10">SUM(G82,F82,E82)</f>
        <v>0</v>
      </c>
    </row>
    <row r="83" spans="1:11">
      <c r="A83" s="768"/>
      <c r="B83" s="997"/>
      <c r="C83" s="997"/>
      <c r="D83" s="1036">
        <f t="shared" si="9"/>
        <v>0</v>
      </c>
      <c r="E83" s="1071">
        <f>'Emission Factors'!$F$488*$D83*0.001</f>
        <v>0</v>
      </c>
      <c r="F83" s="1071">
        <f>'Emission Factors'!$G$488*$D83*0.001</f>
        <v>0</v>
      </c>
      <c r="G83" s="1071">
        <f>'Emission Factors'!$E$488*$D83*0.001</f>
        <v>0</v>
      </c>
      <c r="H83" s="822">
        <f t="shared" si="10"/>
        <v>0</v>
      </c>
    </row>
    <row r="84" spans="1:11">
      <c r="A84" s="768"/>
      <c r="B84" s="997"/>
      <c r="C84" s="997"/>
      <c r="D84" s="1036">
        <f t="shared" si="9"/>
        <v>0</v>
      </c>
      <c r="E84" s="1071">
        <f>'Emission Factors'!$F$488*$D84*0.001</f>
        <v>0</v>
      </c>
      <c r="F84" s="1071">
        <f>'Emission Factors'!$G$488*$D84*0.001</f>
        <v>0</v>
      </c>
      <c r="G84" s="1071">
        <f>'Emission Factors'!$E$488*$D84*0.001</f>
        <v>0</v>
      </c>
      <c r="H84" s="822">
        <f t="shared" si="10"/>
        <v>0</v>
      </c>
    </row>
    <row r="85" spans="1:11">
      <c r="A85" s="768"/>
      <c r="B85" s="997"/>
      <c r="C85" s="997"/>
      <c r="D85" s="1036">
        <f t="shared" si="9"/>
        <v>0</v>
      </c>
      <c r="E85" s="1071">
        <f>'Emission Factors'!$F$488*$D85*0.001</f>
        <v>0</v>
      </c>
      <c r="F85" s="1071">
        <f>'Emission Factors'!$G$488*$D85*0.001</f>
        <v>0</v>
      </c>
      <c r="G85" s="1071">
        <f>'Emission Factors'!$E$488*$D85*0.001</f>
        <v>0</v>
      </c>
      <c r="H85" s="822">
        <f t="shared" si="10"/>
        <v>0</v>
      </c>
    </row>
    <row r="86" spans="1:11">
      <c r="A86" s="768"/>
      <c r="B86" s="997"/>
      <c r="C86" s="997"/>
      <c r="D86" s="1036">
        <f t="shared" si="9"/>
        <v>0</v>
      </c>
      <c r="E86" s="1071">
        <f>'Emission Factors'!$F$488*$D86*0.001</f>
        <v>0</v>
      </c>
      <c r="F86" s="1071">
        <f>'Emission Factors'!$G$488*$D86*0.001</f>
        <v>0</v>
      </c>
      <c r="G86" s="1071">
        <f>'Emission Factors'!$E$488*$D86*0.001</f>
        <v>0</v>
      </c>
      <c r="H86" s="822">
        <f t="shared" si="10"/>
        <v>0</v>
      </c>
    </row>
    <row r="87" spans="1:11">
      <c r="A87" s="768"/>
      <c r="B87" s="997"/>
      <c r="C87" s="997"/>
      <c r="D87" s="1036">
        <f t="shared" si="9"/>
        <v>0</v>
      </c>
      <c r="E87" s="1071">
        <f>'Emission Factors'!$F$488*$D87*0.001</f>
        <v>0</v>
      </c>
      <c r="F87" s="1071">
        <f>'Emission Factors'!$G$488*$D87*0.001</f>
        <v>0</v>
      </c>
      <c r="G87" s="1071">
        <f>'Emission Factors'!$E$488*$D87*0.001</f>
        <v>0</v>
      </c>
      <c r="H87" s="822">
        <f t="shared" si="10"/>
        <v>0</v>
      </c>
    </row>
    <row r="88" spans="1:11">
      <c r="A88" s="768"/>
      <c r="B88" s="997"/>
      <c r="C88" s="997"/>
      <c r="D88" s="1036">
        <f t="shared" si="9"/>
        <v>0</v>
      </c>
      <c r="E88" s="1071">
        <f>'Emission Factors'!$F$488*$D88*0.001</f>
        <v>0</v>
      </c>
      <c r="F88" s="1071">
        <f>'Emission Factors'!$G$488*$D88*0.001</f>
        <v>0</v>
      </c>
      <c r="G88" s="1071">
        <f>'Emission Factors'!$E$488*$D88*0.001</f>
        <v>0</v>
      </c>
      <c r="H88" s="822">
        <f t="shared" si="10"/>
        <v>0</v>
      </c>
    </row>
    <row r="89" spans="1:11">
      <c r="A89" s="768"/>
      <c r="B89" s="997"/>
      <c r="C89" s="997"/>
      <c r="D89" s="1036">
        <f t="shared" si="9"/>
        <v>0</v>
      </c>
      <c r="E89" s="1071">
        <f>'Emission Factors'!$F$488*$D89*0.001</f>
        <v>0</v>
      </c>
      <c r="F89" s="1071">
        <f>'Emission Factors'!$G$488*$D89*0.001</f>
        <v>0</v>
      </c>
      <c r="G89" s="1071">
        <f>'Emission Factors'!$E$488*$D89*0.001</f>
        <v>0</v>
      </c>
      <c r="H89" s="822">
        <f t="shared" si="10"/>
        <v>0</v>
      </c>
    </row>
    <row r="90" spans="1:11" ht="16.5" thickBot="1">
      <c r="A90" s="768"/>
      <c r="B90" s="997"/>
      <c r="C90" s="997"/>
      <c r="D90" s="1036">
        <f t="shared" si="9"/>
        <v>0</v>
      </c>
      <c r="E90" s="1071">
        <f>'Emission Factors'!$F$488*$D90*0.001</f>
        <v>0</v>
      </c>
      <c r="F90" s="1071">
        <f>'Emission Factors'!$G$488*$D90*0.001</f>
        <v>0</v>
      </c>
      <c r="G90" s="1071">
        <f>'Emission Factors'!$E$488*$D90*0.001</f>
        <v>0</v>
      </c>
      <c r="H90" s="1073">
        <f>SUM(G90,F90,E90)</f>
        <v>0</v>
      </c>
    </row>
    <row r="91" spans="1:11" ht="15" customHeight="1" thickBot="1">
      <c r="A91" s="1074"/>
      <c r="B91" s="1074"/>
      <c r="C91" s="1074"/>
      <c r="E91" s="711"/>
      <c r="F91" s="711"/>
      <c r="G91" s="760" t="s">
        <v>434</v>
      </c>
      <c r="H91" s="762">
        <f>SUM(H81:H90)</f>
        <v>0</v>
      </c>
      <c r="I91" s="711"/>
      <c r="J91" s="809"/>
      <c r="K91" s="809"/>
    </row>
    <row r="92" spans="1:11" s="743" customFormat="1" ht="23.25">
      <c r="A92" s="1075"/>
      <c r="B92" s="1075"/>
      <c r="C92" s="1075"/>
      <c r="D92" s="2007" t="s">
        <v>427</v>
      </c>
      <c r="E92" s="2008"/>
      <c r="F92" s="926"/>
      <c r="G92" s="926"/>
      <c r="H92" s="926"/>
      <c r="I92" s="926"/>
      <c r="J92" s="911"/>
      <c r="K92" s="911"/>
    </row>
    <row r="93" spans="1:11" s="743" customFormat="1" ht="24" thickBot="1">
      <c r="A93" s="2102" t="s">
        <v>1030</v>
      </c>
      <c r="B93" s="2103"/>
      <c r="C93" s="2103"/>
      <c r="D93" s="2103"/>
      <c r="E93" s="2103"/>
      <c r="F93" s="2103"/>
      <c r="G93" s="2103"/>
      <c r="H93" s="2103"/>
      <c r="I93" s="2103"/>
      <c r="J93" s="2103"/>
      <c r="K93" s="2103"/>
    </row>
    <row r="94" spans="1:11" s="744" customFormat="1" ht="52.5" customHeight="1">
      <c r="A94" s="1066" t="s">
        <v>1012</v>
      </c>
      <c r="B94" s="1066" t="s">
        <v>1021</v>
      </c>
      <c r="C94" s="1066" t="s">
        <v>1014</v>
      </c>
      <c r="D94" s="1067" t="s">
        <v>1022</v>
      </c>
      <c r="E94" s="1068" t="s">
        <v>1016</v>
      </c>
      <c r="F94" s="1068" t="s">
        <v>1017</v>
      </c>
      <c r="G94" s="1069" t="s">
        <v>1018</v>
      </c>
      <c r="H94" s="1070" t="s">
        <v>721</v>
      </c>
      <c r="I94" s="882"/>
    </row>
    <row r="95" spans="1:11">
      <c r="A95" s="768"/>
      <c r="B95" s="997"/>
      <c r="C95" s="997"/>
      <c r="D95" s="1036">
        <f>SUM(B95*0.001)*C95</f>
        <v>0</v>
      </c>
      <c r="E95" s="1071">
        <f>'Emission Factors'!$F$465*$D95*0.001</f>
        <v>0</v>
      </c>
      <c r="F95" s="1071">
        <f>'Emission Factors'!$G$465*$D95*0.001</f>
        <v>0</v>
      </c>
      <c r="G95" s="1071">
        <f>'Emission Factors'!$E$465*$D95*0.001</f>
        <v>0</v>
      </c>
      <c r="H95" s="822">
        <f>SUM(G95,F95,E95)</f>
        <v>0</v>
      </c>
    </row>
    <row r="96" spans="1:11">
      <c r="A96" s="768"/>
      <c r="B96" s="997"/>
      <c r="C96" s="997"/>
      <c r="D96" s="1036">
        <f t="shared" ref="D96:D103" si="11">SUM(B96*0.001)*C96</f>
        <v>0</v>
      </c>
      <c r="E96" s="1071">
        <f>'Emission Factors'!$F$465*$D96*0.001</f>
        <v>0</v>
      </c>
      <c r="F96" s="1071">
        <f>'Emission Factors'!$G$465*$D96*0.001</f>
        <v>0</v>
      </c>
      <c r="G96" s="1071">
        <f>'Emission Factors'!$E$465*$D96*0.001</f>
        <v>0</v>
      </c>
      <c r="H96" s="822">
        <f t="shared" ref="H96:H103" si="12">SUM(G96,F96,E96)</f>
        <v>0</v>
      </c>
    </row>
    <row r="97" spans="1:19">
      <c r="A97" s="768"/>
      <c r="B97" s="997"/>
      <c r="C97" s="997"/>
      <c r="D97" s="1036">
        <f t="shared" si="11"/>
        <v>0</v>
      </c>
      <c r="E97" s="1071">
        <f>'Emission Factors'!$F$465*$D97*0.001</f>
        <v>0</v>
      </c>
      <c r="F97" s="1071">
        <f>'Emission Factors'!$G$465*$D97*0.001</f>
        <v>0</v>
      </c>
      <c r="G97" s="1071">
        <f>'Emission Factors'!$E$465*$D97*0.001</f>
        <v>0</v>
      </c>
      <c r="H97" s="822">
        <f t="shared" si="12"/>
        <v>0</v>
      </c>
    </row>
    <row r="98" spans="1:19">
      <c r="A98" s="768"/>
      <c r="B98" s="997"/>
      <c r="C98" s="997"/>
      <c r="D98" s="1036">
        <f t="shared" si="11"/>
        <v>0</v>
      </c>
      <c r="E98" s="1071">
        <f>'Emission Factors'!$F$465*$D98*0.001</f>
        <v>0</v>
      </c>
      <c r="F98" s="1071">
        <f>'Emission Factors'!$G$465*$D98*0.001</f>
        <v>0</v>
      </c>
      <c r="G98" s="1071">
        <f>'Emission Factors'!$E$465*$D98*0.001</f>
        <v>0</v>
      </c>
      <c r="H98" s="822">
        <f t="shared" si="12"/>
        <v>0</v>
      </c>
    </row>
    <row r="99" spans="1:19">
      <c r="A99" s="768"/>
      <c r="B99" s="997"/>
      <c r="C99" s="997"/>
      <c r="D99" s="1036">
        <f t="shared" si="11"/>
        <v>0</v>
      </c>
      <c r="E99" s="1071">
        <f>'Emission Factors'!$F$465*$D99*0.001</f>
        <v>0</v>
      </c>
      <c r="F99" s="1071">
        <f>'Emission Factors'!$G$465*$D99*0.001</f>
        <v>0</v>
      </c>
      <c r="G99" s="1071">
        <f>'Emission Factors'!$E$465*$D99*0.001</f>
        <v>0</v>
      </c>
      <c r="H99" s="822">
        <f t="shared" si="12"/>
        <v>0</v>
      </c>
    </row>
    <row r="100" spans="1:19">
      <c r="A100" s="768"/>
      <c r="B100" s="997"/>
      <c r="C100" s="997"/>
      <c r="D100" s="1036">
        <f t="shared" si="11"/>
        <v>0</v>
      </c>
      <c r="E100" s="1071">
        <f>'Emission Factors'!$F$465*$D100*0.001</f>
        <v>0</v>
      </c>
      <c r="F100" s="1071">
        <f>'Emission Factors'!$G$465*$D100*0.001</f>
        <v>0</v>
      </c>
      <c r="G100" s="1071">
        <f>'Emission Factors'!$E$465*$D100*0.001</f>
        <v>0</v>
      </c>
      <c r="H100" s="822">
        <f t="shared" si="12"/>
        <v>0</v>
      </c>
    </row>
    <row r="101" spans="1:19">
      <c r="A101" s="768"/>
      <c r="B101" s="997"/>
      <c r="C101" s="997"/>
      <c r="D101" s="1036">
        <f t="shared" si="11"/>
        <v>0</v>
      </c>
      <c r="E101" s="1071">
        <f>'Emission Factors'!$F$465*$D101*0.001</f>
        <v>0</v>
      </c>
      <c r="F101" s="1071">
        <f>'Emission Factors'!$G$465*$D101*0.001</f>
        <v>0</v>
      </c>
      <c r="G101" s="1071">
        <f>'Emission Factors'!$E$465*$D101*0.001</f>
        <v>0</v>
      </c>
      <c r="H101" s="822">
        <f t="shared" si="12"/>
        <v>0</v>
      </c>
    </row>
    <row r="102" spans="1:19">
      <c r="A102" s="768"/>
      <c r="B102" s="997"/>
      <c r="C102" s="997"/>
      <c r="D102" s="1036">
        <f t="shared" si="11"/>
        <v>0</v>
      </c>
      <c r="E102" s="1071">
        <f>'Emission Factors'!$F$465*$D102*0.001</f>
        <v>0</v>
      </c>
      <c r="F102" s="1071">
        <f>'Emission Factors'!$G$465*$D102*0.001</f>
        <v>0</v>
      </c>
      <c r="G102" s="1071">
        <f>'Emission Factors'!$E$465*$D102*0.001</f>
        <v>0</v>
      </c>
      <c r="H102" s="822">
        <f t="shared" si="12"/>
        <v>0</v>
      </c>
    </row>
    <row r="103" spans="1:19">
      <c r="A103" s="768"/>
      <c r="B103" s="997"/>
      <c r="C103" s="997"/>
      <c r="D103" s="1036">
        <f t="shared" si="11"/>
        <v>0</v>
      </c>
      <c r="E103" s="1071">
        <f>'Emission Factors'!$F$465*$D103*0.001</f>
        <v>0</v>
      </c>
      <c r="F103" s="1071">
        <f>'Emission Factors'!$G$465*$D103*0.001</f>
        <v>0</v>
      </c>
      <c r="G103" s="1071">
        <f>'Emission Factors'!$E$465*$D103*0.001</f>
        <v>0</v>
      </c>
      <c r="H103" s="822">
        <f t="shared" si="12"/>
        <v>0</v>
      </c>
    </row>
    <row r="104" spans="1:19" ht="16.5" thickBot="1">
      <c r="A104" s="768"/>
      <c r="B104" s="997"/>
      <c r="C104" s="997"/>
      <c r="D104" s="1036">
        <f t="shared" ref="D104" si="13">SUM(B104*0.001)*C104</f>
        <v>0</v>
      </c>
      <c r="E104" s="1071">
        <f>'Emission Factors'!$F$465*$D104*0.001</f>
        <v>0</v>
      </c>
      <c r="F104" s="1071">
        <f>'Emission Factors'!$G$465*$D104*0.001</f>
        <v>0</v>
      </c>
      <c r="G104" s="1071">
        <f>'Emission Factors'!$E$465*$D104*0.001</f>
        <v>0</v>
      </c>
      <c r="H104" s="1073">
        <f>SUM(G104,F104,E104)</f>
        <v>0</v>
      </c>
    </row>
    <row r="105" spans="1:19" ht="16.5" thickBot="1">
      <c r="A105" s="720" t="s">
        <v>1023</v>
      </c>
      <c r="B105" s="728"/>
      <c r="C105" s="728"/>
      <c r="D105" s="720"/>
      <c r="E105" s="711"/>
      <c r="F105" s="711"/>
      <c r="G105" s="760" t="s">
        <v>434</v>
      </c>
      <c r="H105" s="762">
        <f>SUM(H95:H104)</f>
        <v>0</v>
      </c>
      <c r="I105" s="711"/>
      <c r="J105" s="809"/>
    </row>
    <row r="106" spans="1:19">
      <c r="A106" s="694"/>
      <c r="C106" s="694"/>
    </row>
    <row r="107" spans="1:19" s="1081" customFormat="1" ht="31.5">
      <c r="A107" s="2028" t="s">
        <v>1031</v>
      </c>
      <c r="B107" s="2029"/>
      <c r="C107" s="2029"/>
      <c r="D107" s="2029"/>
      <c r="E107" s="2029"/>
      <c r="F107" s="2029"/>
      <c r="G107" s="2029"/>
      <c r="H107" s="2029"/>
      <c r="I107" s="2029"/>
      <c r="J107" s="2029"/>
      <c r="K107" s="2029"/>
      <c r="L107" s="2029"/>
      <c r="M107" s="2029"/>
      <c r="N107" s="2029"/>
      <c r="O107" s="2029"/>
      <c r="P107" s="2029"/>
      <c r="Q107" s="2029"/>
      <c r="R107" s="2029"/>
      <c r="S107" s="2029"/>
    </row>
    <row r="108" spans="1:19">
      <c r="A108" s="1085" t="s">
        <v>1032</v>
      </c>
      <c r="B108" s="711"/>
      <c r="D108" s="711"/>
      <c r="E108" s="711"/>
      <c r="F108" s="711"/>
      <c r="G108" s="711"/>
      <c r="H108" s="711"/>
      <c r="I108" s="711"/>
      <c r="J108" s="809"/>
      <c r="K108" s="809"/>
    </row>
    <row r="109" spans="1:19" ht="16.5" thickBot="1">
      <c r="A109" s="2024" t="s">
        <v>427</v>
      </c>
      <c r="B109" s="2025"/>
      <c r="F109" s="711"/>
      <c r="G109" s="711"/>
      <c r="H109" s="711"/>
      <c r="I109" s="711"/>
      <c r="J109" s="809"/>
      <c r="K109" s="809"/>
    </row>
    <row r="110" spans="1:19" ht="56.25">
      <c r="A110" s="705" t="s">
        <v>1033</v>
      </c>
      <c r="B110" s="1066" t="s">
        <v>1021</v>
      </c>
      <c r="C110" s="1066" t="s">
        <v>1014</v>
      </c>
      <c r="D110" s="705" t="s">
        <v>1034</v>
      </c>
      <c r="E110" s="705" t="s">
        <v>1035</v>
      </c>
      <c r="F110" s="1047" t="s">
        <v>1036</v>
      </c>
      <c r="G110" s="820" t="s">
        <v>864</v>
      </c>
    </row>
    <row r="111" spans="1:19">
      <c r="A111" s="963"/>
      <c r="B111" s="997"/>
      <c r="C111" s="915"/>
      <c r="D111" s="764">
        <f>$B111*'Emission Factors'!E$362*0.001*C111</f>
        <v>0</v>
      </c>
      <c r="E111" s="764">
        <f>$B111*'Emission Factors'!F$362*0.001*C111</f>
        <v>0</v>
      </c>
      <c r="F111" s="764">
        <f>$B111*'Emission Factors'!G$362*0.001*C111</f>
        <v>0</v>
      </c>
      <c r="G111" s="701">
        <f>SUM(D111:F111)</f>
        <v>0</v>
      </c>
    </row>
    <row r="112" spans="1:19">
      <c r="A112" s="963"/>
      <c r="B112" s="997"/>
      <c r="C112" s="997"/>
      <c r="D112" s="764">
        <f>$B112*'Emission Factors'!E$362*0.001*C112</f>
        <v>0</v>
      </c>
      <c r="E112" s="764">
        <f>$B112*'Emission Factors'!F$362*0.001*C112</f>
        <v>0</v>
      </c>
      <c r="F112" s="764">
        <f>$B112*'Emission Factors'!G$362*0.001*C112</f>
        <v>0</v>
      </c>
      <c r="G112" s="701">
        <f t="shared" ref="G112:G120" si="14">SUM(D112:F112)</f>
        <v>0</v>
      </c>
    </row>
    <row r="113" spans="1:17">
      <c r="A113" s="963"/>
      <c r="B113" s="997"/>
      <c r="C113" s="997"/>
      <c r="D113" s="764">
        <f>$B113*'Emission Factors'!E$362*0.001*C113</f>
        <v>0</v>
      </c>
      <c r="E113" s="764">
        <f>$B113*'Emission Factors'!F$362*0.001*C113</f>
        <v>0</v>
      </c>
      <c r="F113" s="764">
        <f>$B113*'Emission Factors'!G$362*0.001*C113</f>
        <v>0</v>
      </c>
      <c r="G113" s="701">
        <f t="shared" si="14"/>
        <v>0</v>
      </c>
    </row>
    <row r="114" spans="1:17">
      <c r="A114" s="963"/>
      <c r="B114" s="997"/>
      <c r="C114" s="997"/>
      <c r="D114" s="764">
        <f>$B114*'Emission Factors'!E$362*0.001*C114</f>
        <v>0</v>
      </c>
      <c r="E114" s="764">
        <f>$B114*'Emission Factors'!F$362*0.001*C114</f>
        <v>0</v>
      </c>
      <c r="F114" s="764">
        <f>$B114*'Emission Factors'!G$362*0.001*C114</f>
        <v>0</v>
      </c>
      <c r="G114" s="701">
        <f t="shared" si="14"/>
        <v>0</v>
      </c>
    </row>
    <row r="115" spans="1:17">
      <c r="A115" s="963"/>
      <c r="B115" s="997"/>
      <c r="C115" s="997"/>
      <c r="D115" s="764">
        <f>$B115*'Emission Factors'!E$362*0.001*C115</f>
        <v>0</v>
      </c>
      <c r="E115" s="764">
        <f>$B115*'Emission Factors'!F$362*0.001*C115</f>
        <v>0</v>
      </c>
      <c r="F115" s="764">
        <f>$B115*'Emission Factors'!G$362*0.001*C115</f>
        <v>0</v>
      </c>
      <c r="G115" s="701">
        <f t="shared" si="14"/>
        <v>0</v>
      </c>
    </row>
    <row r="116" spans="1:17">
      <c r="A116" s="963"/>
      <c r="B116" s="997"/>
      <c r="C116" s="997"/>
      <c r="D116" s="764">
        <f>$B116*'Emission Factors'!E$362*0.001*C116</f>
        <v>0</v>
      </c>
      <c r="E116" s="764">
        <f>$B116*'Emission Factors'!F$362*0.001*C116</f>
        <v>0</v>
      </c>
      <c r="F116" s="764">
        <f>$B116*'Emission Factors'!G$362*0.001*C116</f>
        <v>0</v>
      </c>
      <c r="G116" s="701">
        <f t="shared" si="14"/>
        <v>0</v>
      </c>
    </row>
    <row r="117" spans="1:17">
      <c r="A117" s="963"/>
      <c r="B117" s="997"/>
      <c r="C117" s="997"/>
      <c r="D117" s="764">
        <f>$B117*'Emission Factors'!E$362*0.001*C117</f>
        <v>0</v>
      </c>
      <c r="E117" s="764">
        <f>$B117*'Emission Factors'!F$362*0.001*C117</f>
        <v>0</v>
      </c>
      <c r="F117" s="764">
        <f>$B117*'Emission Factors'!G$362*0.001*C117</f>
        <v>0</v>
      </c>
      <c r="G117" s="701">
        <f t="shared" si="14"/>
        <v>0</v>
      </c>
    </row>
    <row r="118" spans="1:17">
      <c r="A118" s="963"/>
      <c r="B118" s="997"/>
      <c r="C118" s="997"/>
      <c r="D118" s="764">
        <f>$B118*'Emission Factors'!E$362*0.001*C118</f>
        <v>0</v>
      </c>
      <c r="E118" s="764">
        <f>$B118*'Emission Factors'!F$362*0.001*C118</f>
        <v>0</v>
      </c>
      <c r="F118" s="764">
        <f>$B118*'Emission Factors'!G$362*0.001*C118</f>
        <v>0</v>
      </c>
      <c r="G118" s="701">
        <f t="shared" si="14"/>
        <v>0</v>
      </c>
    </row>
    <row r="119" spans="1:17">
      <c r="A119" s="963"/>
      <c r="B119" s="997"/>
      <c r="C119" s="997"/>
      <c r="D119" s="764">
        <f>$B119*'Emission Factors'!E$362*0.001*C119</f>
        <v>0</v>
      </c>
      <c r="E119" s="764">
        <f>$B119*'Emission Factors'!F$362*0.001*C119</f>
        <v>0</v>
      </c>
      <c r="F119" s="764">
        <f>$B119*'Emission Factors'!G$362*0.001*C119</f>
        <v>0</v>
      </c>
      <c r="G119" s="701">
        <f t="shared" si="14"/>
        <v>0</v>
      </c>
    </row>
    <row r="120" spans="1:17" ht="16.5" thickBot="1">
      <c r="A120" s="963"/>
      <c r="B120" s="997"/>
      <c r="C120" s="997"/>
      <c r="D120" s="764">
        <f>$B120*'Emission Factors'!E$362*0.001*C120</f>
        <v>0</v>
      </c>
      <c r="E120" s="764">
        <f>$B120*'Emission Factors'!F$362*0.001*C120</f>
        <v>0</v>
      </c>
      <c r="F120" s="764">
        <f>$B120*'Emission Factors'!G$362*0.001*C120</f>
        <v>0</v>
      </c>
      <c r="G120" s="701">
        <f t="shared" si="14"/>
        <v>0</v>
      </c>
    </row>
    <row r="121" spans="1:17" ht="16.5" thickBot="1">
      <c r="A121" s="694"/>
      <c r="F121" s="760" t="s">
        <v>434</v>
      </c>
      <c r="G121" s="762">
        <f>SUM(G111:G120)</f>
        <v>0</v>
      </c>
    </row>
    <row r="122" spans="1:17" s="765" customFormat="1" ht="15"/>
    <row r="123" spans="1:17" s="743" customFormat="1" ht="23.25">
      <c r="A123" s="2107" t="s">
        <v>1037</v>
      </c>
      <c r="B123" s="2108"/>
      <c r="C123" s="2108"/>
      <c r="D123" s="2108"/>
      <c r="E123" s="2108"/>
      <c r="F123" s="2108"/>
      <c r="G123" s="2108"/>
      <c r="H123" s="2108"/>
      <c r="I123" s="2108"/>
      <c r="J123" s="2108"/>
      <c r="K123" s="2108"/>
      <c r="L123" s="2108"/>
      <c r="M123" s="2108"/>
      <c r="N123" s="2108"/>
    </row>
    <row r="124" spans="1:17" s="743" customFormat="1" ht="23.25">
      <c r="A124" s="1065"/>
      <c r="B124" s="994"/>
      <c r="C124" s="994"/>
      <c r="D124" s="2007" t="s">
        <v>427</v>
      </c>
      <c r="E124" s="2008"/>
      <c r="F124" s="994"/>
      <c r="G124" s="994"/>
      <c r="H124" s="994"/>
      <c r="I124" s="994"/>
      <c r="J124" s="995"/>
      <c r="K124" s="995"/>
      <c r="L124" s="995"/>
      <c r="M124" s="995"/>
      <c r="N124" s="995"/>
      <c r="O124" s="995"/>
      <c r="P124" s="995"/>
      <c r="Q124" s="995"/>
    </row>
    <row r="125" spans="1:17" s="743" customFormat="1" ht="24" thickBot="1">
      <c r="A125" s="2104" t="s">
        <v>1011</v>
      </c>
      <c r="B125" s="2105"/>
      <c r="C125" s="2105"/>
      <c r="D125" s="2105"/>
      <c r="E125" s="2105"/>
      <c r="F125" s="2105"/>
      <c r="G125" s="2105"/>
      <c r="H125" s="2105"/>
      <c r="I125" s="2105"/>
      <c r="J125" s="2106"/>
    </row>
    <row r="126" spans="1:17" s="744" customFormat="1" ht="56.25">
      <c r="A126" s="1066" t="s">
        <v>1012</v>
      </c>
      <c r="B126" s="1066" t="s">
        <v>1013</v>
      </c>
      <c r="C126" s="1066" t="s">
        <v>1014</v>
      </c>
      <c r="D126" s="1067" t="s">
        <v>1015</v>
      </c>
      <c r="E126" s="1068" t="s">
        <v>1016</v>
      </c>
      <c r="F126" s="1068" t="s">
        <v>1017</v>
      </c>
      <c r="G126" s="1069" t="s">
        <v>1018</v>
      </c>
      <c r="H126" s="1070" t="s">
        <v>721</v>
      </c>
      <c r="I126" s="882"/>
      <c r="J126" s="882"/>
      <c r="K126" s="882"/>
      <c r="L126" s="882"/>
      <c r="M126" s="882"/>
      <c r="N126" s="882"/>
    </row>
    <row r="127" spans="1:17">
      <c r="A127" s="768"/>
      <c r="B127" s="997"/>
      <c r="C127" s="997"/>
      <c r="D127" s="1036">
        <f>SUM(B127*0.001)*C127</f>
        <v>0</v>
      </c>
      <c r="E127" s="1071">
        <f>'Emission Factors'!$F$507*D127*0.001</f>
        <v>0</v>
      </c>
      <c r="F127" s="764">
        <f>'Emission Factors'!$G$507*D127*0.001</f>
        <v>0</v>
      </c>
      <c r="G127" s="764">
        <f>'Emission Factors'!$E$507*D127*0.001</f>
        <v>0</v>
      </c>
      <c r="H127" s="822">
        <f>SUM(G127,F127,E127)</f>
        <v>0</v>
      </c>
    </row>
    <row r="128" spans="1:17">
      <c r="A128" s="768"/>
      <c r="B128" s="997"/>
      <c r="C128" s="997"/>
      <c r="D128" s="1036">
        <f t="shared" ref="D128:D136" si="15">SUM(B128*0.001)*C128</f>
        <v>0</v>
      </c>
      <c r="E128" s="1071">
        <f>'Emission Factors'!$F$507*D128*0.001</f>
        <v>0</v>
      </c>
      <c r="F128" s="764">
        <f>'Emission Factors'!$G$507*D128*0.001</f>
        <v>0</v>
      </c>
      <c r="G128" s="764">
        <f>'Emission Factors'!$E$507*D128*0.001</f>
        <v>0</v>
      </c>
      <c r="H128" s="822">
        <f t="shared" ref="H128:H136" si="16">SUM(G128,F128,E128)</f>
        <v>0</v>
      </c>
    </row>
    <row r="129" spans="1:11">
      <c r="A129" s="768"/>
      <c r="B129" s="997"/>
      <c r="C129" s="997"/>
      <c r="D129" s="1036">
        <f t="shared" si="15"/>
        <v>0</v>
      </c>
      <c r="E129" s="1071">
        <f>'Emission Factors'!$F$507*D129*0.001</f>
        <v>0</v>
      </c>
      <c r="F129" s="764">
        <f>'Emission Factors'!$G$507*D129*0.001</f>
        <v>0</v>
      </c>
      <c r="G129" s="764">
        <f>'Emission Factors'!$E$507*D129*0.001</f>
        <v>0</v>
      </c>
      <c r="H129" s="822">
        <f t="shared" si="16"/>
        <v>0</v>
      </c>
    </row>
    <row r="130" spans="1:11">
      <c r="A130" s="768"/>
      <c r="B130" s="997"/>
      <c r="C130" s="997"/>
      <c r="D130" s="1036">
        <f t="shared" si="15"/>
        <v>0</v>
      </c>
      <c r="E130" s="1071">
        <f>'Emission Factors'!$F$507*D130*0.001</f>
        <v>0</v>
      </c>
      <c r="F130" s="764">
        <f>'Emission Factors'!$G$507*D130*0.001</f>
        <v>0</v>
      </c>
      <c r="G130" s="764">
        <f>'Emission Factors'!$E$507*D130*0.001</f>
        <v>0</v>
      </c>
      <c r="H130" s="822">
        <f t="shared" si="16"/>
        <v>0</v>
      </c>
    </row>
    <row r="131" spans="1:11">
      <c r="A131" s="768"/>
      <c r="B131" s="997"/>
      <c r="C131" s="997"/>
      <c r="D131" s="1036">
        <f t="shared" si="15"/>
        <v>0</v>
      </c>
      <c r="E131" s="1071">
        <f>'Emission Factors'!$F$507*D131*0.001</f>
        <v>0</v>
      </c>
      <c r="F131" s="764">
        <f>'Emission Factors'!$G$507*D131*0.001</f>
        <v>0</v>
      </c>
      <c r="G131" s="764">
        <f>'Emission Factors'!$E$507*D131*0.001</f>
        <v>0</v>
      </c>
      <c r="H131" s="822">
        <f t="shared" si="16"/>
        <v>0</v>
      </c>
    </row>
    <row r="132" spans="1:11">
      <c r="A132" s="768"/>
      <c r="B132" s="997"/>
      <c r="C132" s="997"/>
      <c r="D132" s="1036">
        <f t="shared" si="15"/>
        <v>0</v>
      </c>
      <c r="E132" s="1071">
        <f>'Emission Factors'!$F$507*D132*0.001</f>
        <v>0</v>
      </c>
      <c r="F132" s="764">
        <f>'Emission Factors'!$G$507*D132*0.001</f>
        <v>0</v>
      </c>
      <c r="G132" s="764">
        <f>'Emission Factors'!$E$507*D132*0.001</f>
        <v>0</v>
      </c>
      <c r="H132" s="822">
        <f t="shared" si="16"/>
        <v>0</v>
      </c>
    </row>
    <row r="133" spans="1:11">
      <c r="A133" s="768"/>
      <c r="B133" s="997"/>
      <c r="C133" s="997"/>
      <c r="D133" s="1036">
        <f t="shared" si="15"/>
        <v>0</v>
      </c>
      <c r="E133" s="1071">
        <f>'Emission Factors'!$F$507*D133*0.001</f>
        <v>0</v>
      </c>
      <c r="F133" s="764">
        <f>'Emission Factors'!$G$507*D133*0.001</f>
        <v>0</v>
      </c>
      <c r="G133" s="764">
        <f>'Emission Factors'!$E$507*D133*0.001</f>
        <v>0</v>
      </c>
      <c r="H133" s="822">
        <f t="shared" si="16"/>
        <v>0</v>
      </c>
    </row>
    <row r="134" spans="1:11">
      <c r="A134" s="768"/>
      <c r="B134" s="997"/>
      <c r="C134" s="997"/>
      <c r="D134" s="1036">
        <f t="shared" si="15"/>
        <v>0</v>
      </c>
      <c r="E134" s="1071">
        <f>'Emission Factors'!$F$507*D134*0.001</f>
        <v>0</v>
      </c>
      <c r="F134" s="764">
        <f>'Emission Factors'!$G$507*D134*0.001</f>
        <v>0</v>
      </c>
      <c r="G134" s="764">
        <f>'Emission Factors'!$E$507*D134*0.001</f>
        <v>0</v>
      </c>
      <c r="H134" s="822">
        <f t="shared" si="16"/>
        <v>0</v>
      </c>
    </row>
    <row r="135" spans="1:11">
      <c r="A135" s="768"/>
      <c r="B135" s="997"/>
      <c r="C135" s="997"/>
      <c r="D135" s="1036">
        <f t="shared" si="15"/>
        <v>0</v>
      </c>
      <c r="E135" s="1071">
        <f>'Emission Factors'!$F$507*D135*0.001</f>
        <v>0</v>
      </c>
      <c r="F135" s="764">
        <f>'Emission Factors'!$G$507*D135*0.001</f>
        <v>0</v>
      </c>
      <c r="G135" s="764">
        <f>'Emission Factors'!$E$507*D135*0.001</f>
        <v>0</v>
      </c>
      <c r="H135" s="822">
        <f t="shared" si="16"/>
        <v>0</v>
      </c>
    </row>
    <row r="136" spans="1:11" ht="16.5" thickBot="1">
      <c r="A136" s="768"/>
      <c r="B136" s="997"/>
      <c r="C136" s="997"/>
      <c r="D136" s="1036">
        <f t="shared" si="15"/>
        <v>0</v>
      </c>
      <c r="E136" s="1071">
        <f>'Emission Factors'!$F$507*D136*0.001</f>
        <v>0</v>
      </c>
      <c r="F136" s="764">
        <f>'Emission Factors'!$G$507*D136*0.001</f>
        <v>0</v>
      </c>
      <c r="G136" s="1072">
        <f>'Emission Factors'!$E$507*D136*0.001</f>
        <v>0</v>
      </c>
      <c r="H136" s="1073">
        <f t="shared" si="16"/>
        <v>0</v>
      </c>
    </row>
    <row r="137" spans="1:11" ht="16.5" thickBot="1">
      <c r="A137" s="720" t="s">
        <v>1019</v>
      </c>
      <c r="B137" s="1074"/>
      <c r="C137" s="1074"/>
      <c r="E137" s="711"/>
      <c r="F137" s="711"/>
      <c r="G137" s="760" t="s">
        <v>434</v>
      </c>
      <c r="H137" s="762">
        <f>SUM(H127:H136)</f>
        <v>0</v>
      </c>
      <c r="I137" s="711"/>
      <c r="J137" s="809"/>
      <c r="K137" s="809"/>
    </row>
    <row r="138" spans="1:11">
      <c r="A138" s="720"/>
      <c r="B138" s="1082"/>
      <c r="C138" s="1082"/>
      <c r="E138" s="711"/>
      <c r="F138" s="711"/>
      <c r="G138" s="711"/>
      <c r="H138" s="711"/>
      <c r="I138" s="711"/>
      <c r="J138" s="809"/>
      <c r="K138" s="809"/>
    </row>
    <row r="139" spans="1:11" s="743" customFormat="1" ht="23.25">
      <c r="A139" s="1075"/>
      <c r="B139" s="1075"/>
      <c r="C139" s="1075"/>
      <c r="D139" s="2007" t="s">
        <v>427</v>
      </c>
      <c r="E139" s="2008"/>
      <c r="F139" s="926"/>
      <c r="G139" s="926"/>
      <c r="H139" s="926"/>
      <c r="I139" s="926"/>
      <c r="J139" s="911"/>
      <c r="K139" s="911"/>
    </row>
    <row r="140" spans="1:11" s="743" customFormat="1" ht="24" thickBot="1">
      <c r="A140" s="2102" t="s">
        <v>1020</v>
      </c>
      <c r="B140" s="2109"/>
      <c r="C140" s="2109"/>
      <c r="D140" s="2109"/>
      <c r="E140" s="2109"/>
      <c r="F140" s="2109"/>
      <c r="G140" s="2109"/>
      <c r="H140" s="2109"/>
      <c r="I140" s="2109"/>
      <c r="J140" s="2109"/>
      <c r="K140" s="2109"/>
    </row>
    <row r="141" spans="1:11" s="744" customFormat="1" ht="56.25">
      <c r="A141" s="1066" t="s">
        <v>1012</v>
      </c>
      <c r="B141" s="1066" t="s">
        <v>1021</v>
      </c>
      <c r="C141" s="1066" t="s">
        <v>1014</v>
      </c>
      <c r="D141" s="1067" t="s">
        <v>1022</v>
      </c>
      <c r="E141" s="1068" t="s">
        <v>1016</v>
      </c>
      <c r="F141" s="1068" t="s">
        <v>1017</v>
      </c>
      <c r="G141" s="1069" t="s">
        <v>1018</v>
      </c>
      <c r="H141" s="1070" t="s">
        <v>721</v>
      </c>
      <c r="I141" s="882"/>
    </row>
    <row r="142" spans="1:11">
      <c r="A142" s="768"/>
      <c r="B142" s="997"/>
      <c r="C142" s="997"/>
      <c r="D142" s="1036">
        <f>SUM(B142/1000)*C142</f>
        <v>0</v>
      </c>
      <c r="E142" s="1071">
        <f>'Emission Factors'!$J$463*D142*0.001</f>
        <v>0</v>
      </c>
      <c r="F142" s="1071">
        <f>'Emission Factors'!$K$463*D142*0.001</f>
        <v>0</v>
      </c>
      <c r="G142" s="764">
        <f>'Emission Factors'!$I$463*D142*0.001</f>
        <v>0</v>
      </c>
      <c r="H142" s="822">
        <f>SUM(G142,F142,E142)</f>
        <v>0</v>
      </c>
    </row>
    <row r="143" spans="1:11">
      <c r="A143" s="768"/>
      <c r="B143" s="997"/>
      <c r="C143" s="997"/>
      <c r="D143" s="1036">
        <f t="shared" ref="D143:D151" si="17">SUM(B143/1000)*C143</f>
        <v>0</v>
      </c>
      <c r="E143" s="1071">
        <f>'Emission Factors'!$J$463*D143*0.001</f>
        <v>0</v>
      </c>
      <c r="F143" s="1071">
        <f>'Emission Factors'!$K$463*D143*0.001</f>
        <v>0</v>
      </c>
      <c r="G143" s="764">
        <f>'Emission Factors'!$I$463*D143*0.001</f>
        <v>0</v>
      </c>
      <c r="H143" s="822">
        <f t="shared" ref="H143:H151" si="18">SUM(G143,F143,E143)</f>
        <v>0</v>
      </c>
    </row>
    <row r="144" spans="1:11">
      <c r="A144" s="768"/>
      <c r="B144" s="997"/>
      <c r="C144" s="997"/>
      <c r="D144" s="1036">
        <f t="shared" si="17"/>
        <v>0</v>
      </c>
      <c r="E144" s="1071">
        <f>'Emission Factors'!$J$463*D144*0.001</f>
        <v>0</v>
      </c>
      <c r="F144" s="1071">
        <f>'Emission Factors'!$K$463*D144*0.001</f>
        <v>0</v>
      </c>
      <c r="G144" s="764">
        <f>'Emission Factors'!$I$463*D144*0.001</f>
        <v>0</v>
      </c>
      <c r="H144" s="822">
        <f t="shared" si="18"/>
        <v>0</v>
      </c>
    </row>
    <row r="145" spans="1:11">
      <c r="A145" s="768"/>
      <c r="B145" s="997"/>
      <c r="C145" s="997"/>
      <c r="D145" s="1036">
        <f t="shared" si="17"/>
        <v>0</v>
      </c>
      <c r="E145" s="1071">
        <f>'Emission Factors'!$J$463*D145*0.001</f>
        <v>0</v>
      </c>
      <c r="F145" s="1071">
        <f>'Emission Factors'!$K$463*D145*0.001</f>
        <v>0</v>
      </c>
      <c r="G145" s="764">
        <f>'Emission Factors'!$I$463*D145*0.001</f>
        <v>0</v>
      </c>
      <c r="H145" s="822">
        <f t="shared" si="18"/>
        <v>0</v>
      </c>
    </row>
    <row r="146" spans="1:11">
      <c r="A146" s="768"/>
      <c r="B146" s="997"/>
      <c r="C146" s="997"/>
      <c r="D146" s="1036">
        <f t="shared" si="17"/>
        <v>0</v>
      </c>
      <c r="E146" s="1071">
        <f>'Emission Factors'!$J$463*D146*0.001</f>
        <v>0</v>
      </c>
      <c r="F146" s="1071">
        <f>'Emission Factors'!$K$463*D146*0.001</f>
        <v>0</v>
      </c>
      <c r="G146" s="764">
        <f>'Emission Factors'!$I$463*D146*0.001</f>
        <v>0</v>
      </c>
      <c r="H146" s="822">
        <f t="shared" si="18"/>
        <v>0</v>
      </c>
    </row>
    <row r="147" spans="1:11">
      <c r="A147" s="768"/>
      <c r="B147" s="997"/>
      <c r="C147" s="997"/>
      <c r="D147" s="1036">
        <f t="shared" si="17"/>
        <v>0</v>
      </c>
      <c r="E147" s="1071">
        <f>'Emission Factors'!$J$463*D147*0.001</f>
        <v>0</v>
      </c>
      <c r="F147" s="1071">
        <f>'Emission Factors'!$K$463*D147*0.001</f>
        <v>0</v>
      </c>
      <c r="G147" s="764">
        <f>'Emission Factors'!$I$463*D147*0.001</f>
        <v>0</v>
      </c>
      <c r="H147" s="822">
        <f t="shared" si="18"/>
        <v>0</v>
      </c>
    </row>
    <row r="148" spans="1:11">
      <c r="A148" s="768"/>
      <c r="B148" s="997"/>
      <c r="C148" s="997"/>
      <c r="D148" s="1036">
        <f t="shared" si="17"/>
        <v>0</v>
      </c>
      <c r="E148" s="1071">
        <f>'Emission Factors'!$J$463*D148*0.001</f>
        <v>0</v>
      </c>
      <c r="F148" s="1071">
        <f>'Emission Factors'!$K$463*D148*0.001</f>
        <v>0</v>
      </c>
      <c r="G148" s="764">
        <f>'Emission Factors'!$I$463*D148*0.001</f>
        <v>0</v>
      </c>
      <c r="H148" s="822">
        <f t="shared" si="18"/>
        <v>0</v>
      </c>
    </row>
    <row r="149" spans="1:11">
      <c r="A149" s="768"/>
      <c r="B149" s="997"/>
      <c r="C149" s="997"/>
      <c r="D149" s="1036">
        <f t="shared" si="17"/>
        <v>0</v>
      </c>
      <c r="E149" s="1071">
        <f>'Emission Factors'!$J$463*D149*0.001</f>
        <v>0</v>
      </c>
      <c r="F149" s="1071">
        <f>'Emission Factors'!$K$463*D149*0.001</f>
        <v>0</v>
      </c>
      <c r="G149" s="764">
        <f>'Emission Factors'!$I$463*D149*0.001</f>
        <v>0</v>
      </c>
      <c r="H149" s="822">
        <f t="shared" si="18"/>
        <v>0</v>
      </c>
    </row>
    <row r="150" spans="1:11">
      <c r="A150" s="768"/>
      <c r="B150" s="997"/>
      <c r="C150" s="997"/>
      <c r="D150" s="1036">
        <f t="shared" si="17"/>
        <v>0</v>
      </c>
      <c r="E150" s="1071">
        <f>'Emission Factors'!$J$463*D150*0.001</f>
        <v>0</v>
      </c>
      <c r="F150" s="1071">
        <f>'Emission Factors'!$K$463*D150*0.001</f>
        <v>0</v>
      </c>
      <c r="G150" s="764">
        <f>'Emission Factors'!$I$463*D150*0.001</f>
        <v>0</v>
      </c>
      <c r="H150" s="822">
        <f t="shared" si="18"/>
        <v>0</v>
      </c>
    </row>
    <row r="151" spans="1:11" ht="16.5" thickBot="1">
      <c r="A151" s="768"/>
      <c r="B151" s="997"/>
      <c r="C151" s="997"/>
      <c r="D151" s="1036">
        <f t="shared" si="17"/>
        <v>0</v>
      </c>
      <c r="E151" s="1071">
        <f>'Emission Factors'!$J$463*D151*0.001</f>
        <v>0</v>
      </c>
      <c r="F151" s="1071">
        <f>'Emission Factors'!$K$463*D151*0.001</f>
        <v>0</v>
      </c>
      <c r="G151" s="764">
        <f>'Emission Factors'!$I$463*D151*0.001</f>
        <v>0</v>
      </c>
      <c r="H151" s="1073">
        <f t="shared" si="18"/>
        <v>0</v>
      </c>
    </row>
    <row r="152" spans="1:11" ht="16.5" thickBot="1">
      <c r="A152" s="720" t="s">
        <v>1023</v>
      </c>
      <c r="B152" s="728"/>
      <c r="C152" s="728"/>
      <c r="D152" s="720"/>
      <c r="E152" s="711"/>
      <c r="F152" s="711"/>
      <c r="G152" s="760" t="s">
        <v>434</v>
      </c>
      <c r="H152" s="762">
        <f>SUM(H142:H151)</f>
        <v>0</v>
      </c>
      <c r="I152" s="711"/>
      <c r="J152" s="809"/>
    </row>
    <row r="153" spans="1:11">
      <c r="A153" s="728"/>
      <c r="B153" s="728"/>
      <c r="C153" s="728"/>
      <c r="D153" s="720"/>
      <c r="E153" s="711"/>
      <c r="F153" s="711"/>
      <c r="G153" s="711"/>
      <c r="H153" s="711"/>
      <c r="I153" s="711"/>
      <c r="J153" s="809"/>
      <c r="K153" s="809"/>
    </row>
    <row r="154" spans="1:11" s="743" customFormat="1" ht="23.25">
      <c r="A154" s="1076"/>
      <c r="B154" s="1076"/>
      <c r="C154" s="1076"/>
      <c r="D154" s="2007" t="s">
        <v>427</v>
      </c>
      <c r="E154" s="2008"/>
      <c r="F154" s="926"/>
      <c r="G154" s="926"/>
      <c r="H154" s="926"/>
      <c r="I154" s="926"/>
      <c r="J154" s="911"/>
      <c r="K154" s="911"/>
    </row>
    <row r="155" spans="1:11" s="743" customFormat="1" ht="24" thickBot="1">
      <c r="A155" s="2102" t="s">
        <v>1024</v>
      </c>
      <c r="B155" s="2109"/>
      <c r="C155" s="2109"/>
      <c r="D155" s="2109"/>
      <c r="E155" s="2109"/>
      <c r="F155" s="2109"/>
      <c r="G155" s="2109"/>
      <c r="H155" s="2109"/>
      <c r="I155" s="2109"/>
      <c r="J155" s="2109"/>
      <c r="K155" s="2109"/>
    </row>
    <row r="156" spans="1:11" s="744" customFormat="1" ht="56.25">
      <c r="A156" s="1066" t="s">
        <v>1012</v>
      </c>
      <c r="B156" s="1066" t="s">
        <v>1021</v>
      </c>
      <c r="C156" s="1066" t="s">
        <v>1014</v>
      </c>
      <c r="D156" s="1067" t="s">
        <v>1022</v>
      </c>
      <c r="E156" s="1068" t="s">
        <v>1016</v>
      </c>
      <c r="F156" s="1068" t="s">
        <v>1017</v>
      </c>
      <c r="G156" s="1069" t="s">
        <v>1018</v>
      </c>
      <c r="H156" s="1070" t="s">
        <v>721</v>
      </c>
      <c r="I156" s="882"/>
    </row>
    <row r="157" spans="1:11">
      <c r="A157" s="768"/>
      <c r="B157" s="768"/>
      <c r="C157" s="997"/>
      <c r="D157" s="1036">
        <f>SUM(B157*0.001)*C157</f>
        <v>0</v>
      </c>
      <c r="E157" s="1071">
        <f>'Emission Factors'!$F$362*$D157*0.001</f>
        <v>0</v>
      </c>
      <c r="F157" s="1071">
        <f>'Emission Factors'!$G$362*$D157*0.001</f>
        <v>0</v>
      </c>
      <c r="G157" s="1071">
        <f>'Emission Factors'!$E$362*$D157*0.001</f>
        <v>0</v>
      </c>
      <c r="H157" s="822">
        <f>SUM(G157,F157,E157)</f>
        <v>0</v>
      </c>
    </row>
    <row r="158" spans="1:11">
      <c r="A158" s="768"/>
      <c r="B158" s="997"/>
      <c r="C158" s="997"/>
      <c r="D158" s="1036">
        <f t="shared" ref="D158:D167" si="19">SUM(B158*0.001)*C158</f>
        <v>0</v>
      </c>
      <c r="E158" s="1071">
        <f>'Emission Factors'!$F$362*D158*0.001</f>
        <v>0</v>
      </c>
      <c r="F158" s="1071">
        <f>'Emission Factors'!$G$362*$D158*0.001</f>
        <v>0</v>
      </c>
      <c r="G158" s="1071">
        <f>'Emission Factors'!$E$362*$D158*0.001</f>
        <v>0</v>
      </c>
      <c r="H158" s="822">
        <f t="shared" ref="H158:H166" si="20">SUM(G158,F158,E158)</f>
        <v>0</v>
      </c>
    </row>
    <row r="159" spans="1:11">
      <c r="A159" s="768"/>
      <c r="B159" s="997"/>
      <c r="C159" s="997"/>
      <c r="D159" s="1036">
        <f t="shared" si="19"/>
        <v>0</v>
      </c>
      <c r="E159" s="1071">
        <f>'Emission Factors'!$F$362*D159*0.001</f>
        <v>0</v>
      </c>
      <c r="F159" s="1071">
        <f>'Emission Factors'!$G$362*$D159*0.001</f>
        <v>0</v>
      </c>
      <c r="G159" s="1071">
        <f>'Emission Factors'!$E$362*$D159*0.001</f>
        <v>0</v>
      </c>
      <c r="H159" s="822">
        <f t="shared" si="20"/>
        <v>0</v>
      </c>
    </row>
    <row r="160" spans="1:11">
      <c r="A160" s="768"/>
      <c r="B160" s="997"/>
      <c r="C160" s="997"/>
      <c r="D160" s="1036">
        <f t="shared" si="19"/>
        <v>0</v>
      </c>
      <c r="E160" s="1071">
        <f>'Emission Factors'!$F$362*D160*0.001</f>
        <v>0</v>
      </c>
      <c r="F160" s="1071">
        <f>'Emission Factors'!$G$362*$D160*0.001</f>
        <v>0</v>
      </c>
      <c r="G160" s="1071">
        <f>'Emission Factors'!$E$362*$D160*0.001</f>
        <v>0</v>
      </c>
      <c r="H160" s="822">
        <f t="shared" si="20"/>
        <v>0</v>
      </c>
    </row>
    <row r="161" spans="1:11">
      <c r="A161" s="768"/>
      <c r="B161" s="997"/>
      <c r="C161" s="997"/>
      <c r="D161" s="1036">
        <f t="shared" si="19"/>
        <v>0</v>
      </c>
      <c r="E161" s="1071">
        <f>'Emission Factors'!$F$362*D161*0.001</f>
        <v>0</v>
      </c>
      <c r="F161" s="1071">
        <f>'Emission Factors'!$G$362*$D161*0.001</f>
        <v>0</v>
      </c>
      <c r="G161" s="1071">
        <f>'Emission Factors'!$E$362*$D161*0.001</f>
        <v>0</v>
      </c>
      <c r="H161" s="822">
        <f t="shared" si="20"/>
        <v>0</v>
      </c>
    </row>
    <row r="162" spans="1:11">
      <c r="A162" s="768"/>
      <c r="B162" s="997"/>
      <c r="C162" s="997"/>
      <c r="D162" s="1036">
        <f t="shared" si="19"/>
        <v>0</v>
      </c>
      <c r="E162" s="1071">
        <f>'Emission Factors'!$F$362*D162*0.001</f>
        <v>0</v>
      </c>
      <c r="F162" s="1071">
        <f>'Emission Factors'!$G$362*$D162*0.001</f>
        <v>0</v>
      </c>
      <c r="G162" s="1071">
        <f>'Emission Factors'!$E$362*$D162*0.001</f>
        <v>0</v>
      </c>
      <c r="H162" s="822">
        <f t="shared" si="20"/>
        <v>0</v>
      </c>
    </row>
    <row r="163" spans="1:11">
      <c r="A163" s="768"/>
      <c r="B163" s="997"/>
      <c r="C163" s="997"/>
      <c r="D163" s="1036">
        <f t="shared" si="19"/>
        <v>0</v>
      </c>
      <c r="E163" s="1071">
        <f>'Emission Factors'!$F$362*D163*0.001</f>
        <v>0</v>
      </c>
      <c r="F163" s="1071">
        <f>'Emission Factors'!$G$362*$D163*0.001</f>
        <v>0</v>
      </c>
      <c r="G163" s="1071">
        <f>'Emission Factors'!$E$362*$D163*0.001</f>
        <v>0</v>
      </c>
      <c r="H163" s="822">
        <f t="shared" si="20"/>
        <v>0</v>
      </c>
    </row>
    <row r="164" spans="1:11">
      <c r="A164" s="768"/>
      <c r="B164" s="997"/>
      <c r="C164" s="997"/>
      <c r="D164" s="1036">
        <f t="shared" si="19"/>
        <v>0</v>
      </c>
      <c r="E164" s="1071">
        <f>'Emission Factors'!$F$362*D164*0.001</f>
        <v>0</v>
      </c>
      <c r="F164" s="1071">
        <f>'Emission Factors'!$G$362*$D164*0.001</f>
        <v>0</v>
      </c>
      <c r="G164" s="1071">
        <f>'Emission Factors'!$E$362*$D164*0.001</f>
        <v>0</v>
      </c>
      <c r="H164" s="822">
        <f t="shared" si="20"/>
        <v>0</v>
      </c>
    </row>
    <row r="165" spans="1:11">
      <c r="A165" s="768"/>
      <c r="B165" s="997"/>
      <c r="C165" s="997"/>
      <c r="D165" s="1036">
        <f t="shared" si="19"/>
        <v>0</v>
      </c>
      <c r="E165" s="1071">
        <f>'Emission Factors'!$F$362*D165*0.001</f>
        <v>0</v>
      </c>
      <c r="F165" s="1071">
        <f>'Emission Factors'!$G$362*$D165*0.001</f>
        <v>0</v>
      </c>
      <c r="G165" s="1071">
        <f>'Emission Factors'!$E$362*$D165*0.001</f>
        <v>0</v>
      </c>
      <c r="H165" s="822">
        <f t="shared" si="20"/>
        <v>0</v>
      </c>
    </row>
    <row r="166" spans="1:11">
      <c r="A166" s="768"/>
      <c r="B166" s="997"/>
      <c r="C166" s="997"/>
      <c r="D166" s="1036">
        <f t="shared" si="19"/>
        <v>0</v>
      </c>
      <c r="E166" s="1071">
        <f>'Emission Factors'!$F$362*D166*0.001</f>
        <v>0</v>
      </c>
      <c r="F166" s="1071">
        <f>'Emission Factors'!$G$362*$D166*0.001</f>
        <v>0</v>
      </c>
      <c r="G166" s="1071">
        <f>'Emission Factors'!$E$362*$D166*0.001</f>
        <v>0</v>
      </c>
      <c r="H166" s="1073">
        <f t="shared" si="20"/>
        <v>0</v>
      </c>
    </row>
    <row r="167" spans="1:11" ht="16.5" thickBot="1">
      <c r="A167" s="768"/>
      <c r="B167" s="997"/>
      <c r="C167" s="997"/>
      <c r="D167" s="1036">
        <f t="shared" si="19"/>
        <v>0</v>
      </c>
      <c r="E167" s="1071">
        <f>'Emission Factors'!$F$362*D167*0.001</f>
        <v>0</v>
      </c>
      <c r="F167" s="1071">
        <f>'Emission Factors'!$G$362*$D167*0.001</f>
        <v>0</v>
      </c>
      <c r="G167" s="1071">
        <f>'Emission Factors'!$E$362*$D167*0.001</f>
        <v>0</v>
      </c>
      <c r="H167" s="822">
        <f>SUM(G167,F167,E167)</f>
        <v>0</v>
      </c>
    </row>
    <row r="168" spans="1:11" ht="16.5" thickBot="1">
      <c r="A168" s="720" t="s">
        <v>1025</v>
      </c>
      <c r="B168" s="728"/>
      <c r="C168" s="728"/>
      <c r="D168" s="720"/>
      <c r="E168" s="711"/>
      <c r="F168" s="711"/>
      <c r="G168" s="760" t="s">
        <v>434</v>
      </c>
      <c r="H168" s="762">
        <f>SUM(H157:H167)</f>
        <v>0</v>
      </c>
      <c r="I168" s="711"/>
      <c r="J168" s="809"/>
    </row>
    <row r="169" spans="1:11">
      <c r="A169" s="728"/>
      <c r="B169" s="728"/>
      <c r="C169" s="728"/>
      <c r="D169" s="720"/>
      <c r="E169" s="711"/>
      <c r="F169" s="711"/>
      <c r="G169" s="711"/>
      <c r="H169" s="711"/>
      <c r="I169" s="711"/>
      <c r="J169" s="809"/>
      <c r="K169" s="809"/>
    </row>
    <row r="170" spans="1:11" s="743" customFormat="1" ht="23.25">
      <c r="A170" s="1076"/>
      <c r="B170" s="1076"/>
      <c r="C170" s="1076"/>
      <c r="D170" s="2007" t="s">
        <v>427</v>
      </c>
      <c r="E170" s="2008"/>
      <c r="F170" s="926"/>
      <c r="G170" s="926"/>
      <c r="H170" s="926"/>
      <c r="I170" s="926"/>
      <c r="J170" s="911"/>
      <c r="K170" s="911"/>
    </row>
    <row r="171" spans="1:11" s="743" customFormat="1" ht="23.45" customHeight="1" thickBot="1">
      <c r="A171" s="2102" t="s">
        <v>1026</v>
      </c>
      <c r="B171" s="2109"/>
      <c r="C171" s="2109"/>
      <c r="D171" s="2109"/>
      <c r="E171" s="2109"/>
      <c r="F171" s="2109"/>
      <c r="G171" s="2109"/>
      <c r="H171" s="2109"/>
      <c r="I171" s="2109"/>
      <c r="J171" s="2109"/>
      <c r="K171" s="2109"/>
    </row>
    <row r="172" spans="1:11" s="744" customFormat="1" ht="56.25">
      <c r="A172" s="1066" t="s">
        <v>1012</v>
      </c>
      <c r="B172" s="1066" t="s">
        <v>1021</v>
      </c>
      <c r="C172" s="1066" t="s">
        <v>1014</v>
      </c>
      <c r="D172" s="1067" t="s">
        <v>1022</v>
      </c>
      <c r="E172" s="1068" t="s">
        <v>1016</v>
      </c>
      <c r="F172" s="1068" t="s">
        <v>1017</v>
      </c>
      <c r="G172" s="1069" t="s">
        <v>1018</v>
      </c>
      <c r="H172" s="1070" t="s">
        <v>721</v>
      </c>
      <c r="I172" s="882"/>
    </row>
    <row r="173" spans="1:11">
      <c r="A173" s="768"/>
      <c r="B173" s="997"/>
      <c r="C173" s="997"/>
      <c r="D173" s="1036">
        <f>SUM(B173*0.001)*C173</f>
        <v>0</v>
      </c>
      <c r="E173" s="1071">
        <f>'Emission Factors'!$F$470*$D173*0.001</f>
        <v>0</v>
      </c>
      <c r="F173" s="1071">
        <f>'Emission Factors'!$G$470*$D173*0.001</f>
        <v>0</v>
      </c>
      <c r="G173" s="1071">
        <f>'Emission Factors'!$E$470*$D173*0.001</f>
        <v>0</v>
      </c>
      <c r="H173" s="822">
        <f>SUM(G173,F173,E173)</f>
        <v>0</v>
      </c>
    </row>
    <row r="174" spans="1:11">
      <c r="A174" s="768"/>
      <c r="B174" s="997"/>
      <c r="C174" s="997"/>
      <c r="D174" s="1036">
        <f t="shared" ref="D174:D182" si="21">SUM(B174*0.001)*C174</f>
        <v>0</v>
      </c>
      <c r="E174" s="1071">
        <f>'Emission Factors'!$F$470*$D174*0.001</f>
        <v>0</v>
      </c>
      <c r="F174" s="1071">
        <f>'Emission Factors'!$G$470*$D174*0.001</f>
        <v>0</v>
      </c>
      <c r="G174" s="1071">
        <f>'Emission Factors'!$E$470*$D174*0.001</f>
        <v>0</v>
      </c>
      <c r="H174" s="822">
        <f t="shared" ref="H174:H182" si="22">SUM(G174,F174,E174)</f>
        <v>0</v>
      </c>
    </row>
    <row r="175" spans="1:11">
      <c r="A175" s="768"/>
      <c r="B175" s="997"/>
      <c r="C175" s="997"/>
      <c r="D175" s="1036">
        <f t="shared" si="21"/>
        <v>0</v>
      </c>
      <c r="E175" s="1071">
        <f>'Emission Factors'!$F$470*$D175*0.001</f>
        <v>0</v>
      </c>
      <c r="F175" s="1071">
        <f>'Emission Factors'!$G$470*$D175*0.001</f>
        <v>0</v>
      </c>
      <c r="G175" s="1071">
        <f>'Emission Factors'!$E$470*$D175*0.001</f>
        <v>0</v>
      </c>
      <c r="H175" s="822">
        <f t="shared" si="22"/>
        <v>0</v>
      </c>
    </row>
    <row r="176" spans="1:11">
      <c r="A176" s="768"/>
      <c r="B176" s="997"/>
      <c r="C176" s="997"/>
      <c r="D176" s="1036">
        <f t="shared" si="21"/>
        <v>0</v>
      </c>
      <c r="E176" s="1071">
        <f>'Emission Factors'!$F$470*$D176*0.001</f>
        <v>0</v>
      </c>
      <c r="F176" s="1071">
        <f>'Emission Factors'!$G$470*$D176*0.001</f>
        <v>0</v>
      </c>
      <c r="G176" s="1071">
        <f>'Emission Factors'!$E$470*$D176*0.001</f>
        <v>0</v>
      </c>
      <c r="H176" s="822">
        <f t="shared" si="22"/>
        <v>0</v>
      </c>
    </row>
    <row r="177" spans="1:17">
      <c r="A177" s="768"/>
      <c r="B177" s="997"/>
      <c r="C177" s="997"/>
      <c r="D177" s="1036">
        <f t="shared" si="21"/>
        <v>0</v>
      </c>
      <c r="E177" s="1071">
        <f>'Emission Factors'!$F$470*$D177*0.001</f>
        <v>0</v>
      </c>
      <c r="F177" s="1071">
        <f>'Emission Factors'!$G$470*$D177*0.001</f>
        <v>0</v>
      </c>
      <c r="G177" s="1071">
        <f>'Emission Factors'!$E$470*$D177*0.001</f>
        <v>0</v>
      </c>
      <c r="H177" s="822">
        <f t="shared" si="22"/>
        <v>0</v>
      </c>
    </row>
    <row r="178" spans="1:17">
      <c r="A178" s="768"/>
      <c r="B178" s="997"/>
      <c r="C178" s="997"/>
      <c r="D178" s="1036">
        <f t="shared" si="21"/>
        <v>0</v>
      </c>
      <c r="E178" s="1071">
        <f>'Emission Factors'!$F$470*$D178*0.001</f>
        <v>0</v>
      </c>
      <c r="F178" s="1071">
        <f>'Emission Factors'!$G$470*$D178*0.001</f>
        <v>0</v>
      </c>
      <c r="G178" s="1071">
        <f>'Emission Factors'!$E$470*$D178*0.001</f>
        <v>0</v>
      </c>
      <c r="H178" s="822">
        <f t="shared" si="22"/>
        <v>0</v>
      </c>
    </row>
    <row r="179" spans="1:17">
      <c r="A179" s="768"/>
      <c r="B179" s="997"/>
      <c r="C179" s="997"/>
      <c r="D179" s="1036">
        <f t="shared" si="21"/>
        <v>0</v>
      </c>
      <c r="E179" s="1071">
        <f>'Emission Factors'!$F$470*$D179*0.001</f>
        <v>0</v>
      </c>
      <c r="F179" s="1071">
        <f>'Emission Factors'!$G$470*$D179*0.001</f>
        <v>0</v>
      </c>
      <c r="G179" s="1071">
        <f>'Emission Factors'!$E$470*$D179*0.001</f>
        <v>0</v>
      </c>
      <c r="H179" s="822">
        <f t="shared" si="22"/>
        <v>0</v>
      </c>
    </row>
    <row r="180" spans="1:17">
      <c r="A180" s="768"/>
      <c r="B180" s="997"/>
      <c r="C180" s="997"/>
      <c r="D180" s="1036">
        <f t="shared" si="21"/>
        <v>0</v>
      </c>
      <c r="E180" s="1071">
        <f>'Emission Factors'!$F$470*$D180*0.001</f>
        <v>0</v>
      </c>
      <c r="F180" s="1071">
        <f>'Emission Factors'!$G$470*$D180*0.001</f>
        <v>0</v>
      </c>
      <c r="G180" s="1071">
        <f>'Emission Factors'!$E$470*$D180*0.001</f>
        <v>0</v>
      </c>
      <c r="H180" s="822">
        <f t="shared" si="22"/>
        <v>0</v>
      </c>
    </row>
    <row r="181" spans="1:17">
      <c r="A181" s="768"/>
      <c r="B181" s="997"/>
      <c r="C181" s="997"/>
      <c r="D181" s="1036">
        <f t="shared" si="21"/>
        <v>0</v>
      </c>
      <c r="E181" s="1071">
        <f>'Emission Factors'!$F$470*$D181*0.001</f>
        <v>0</v>
      </c>
      <c r="F181" s="1071">
        <f>'Emission Factors'!$G$470*$D181*0.001</f>
        <v>0</v>
      </c>
      <c r="G181" s="1071">
        <f>'Emission Factors'!$E$470*$D181*0.001</f>
        <v>0</v>
      </c>
      <c r="H181" s="822">
        <f t="shared" si="22"/>
        <v>0</v>
      </c>
    </row>
    <row r="182" spans="1:17" ht="16.5" thickBot="1">
      <c r="A182" s="768"/>
      <c r="B182" s="997"/>
      <c r="C182" s="997"/>
      <c r="D182" s="1036">
        <f t="shared" si="21"/>
        <v>0</v>
      </c>
      <c r="E182" s="1071">
        <f>'Emission Factors'!$F$470*$D182*0.001</f>
        <v>0</v>
      </c>
      <c r="F182" s="1071">
        <f>'Emission Factors'!$G$470*$D182*0.001</f>
        <v>0</v>
      </c>
      <c r="G182" s="1071">
        <f>'Emission Factors'!$E$470*$D182*0.001</f>
        <v>0</v>
      </c>
      <c r="H182" s="1073">
        <f t="shared" si="22"/>
        <v>0</v>
      </c>
    </row>
    <row r="183" spans="1:17" ht="19.5" thickBot="1">
      <c r="A183" s="1079" t="s">
        <v>1027</v>
      </c>
      <c r="B183" s="728"/>
      <c r="C183" s="728"/>
      <c r="D183" s="720"/>
      <c r="E183" s="711"/>
      <c r="F183" s="711"/>
      <c r="G183" s="760" t="s">
        <v>434</v>
      </c>
      <c r="H183" s="762">
        <f>SUM(H173:H182)</f>
        <v>0</v>
      </c>
      <c r="I183" s="711"/>
      <c r="J183" s="809"/>
      <c r="K183" s="809"/>
    </row>
    <row r="184" spans="1:17" s="765" customFormat="1" ht="15"/>
    <row r="185" spans="1:17" s="765" customFormat="1" ht="15"/>
    <row r="186" spans="1:17" s="743" customFormat="1" ht="23.25">
      <c r="A186" s="2107" t="s">
        <v>1038</v>
      </c>
      <c r="B186" s="2108"/>
      <c r="C186" s="2108"/>
      <c r="D186" s="2108"/>
      <c r="E186" s="2108"/>
      <c r="F186" s="2108"/>
      <c r="G186" s="2108"/>
      <c r="H186" s="2108"/>
      <c r="I186" s="2108"/>
      <c r="J186" s="2108"/>
      <c r="K186" s="2108"/>
      <c r="L186" s="2108"/>
      <c r="M186" s="2108"/>
      <c r="N186" s="2108"/>
    </row>
    <row r="187" spans="1:17" s="743" customFormat="1" ht="23.25">
      <c r="A187" s="1065"/>
      <c r="B187" s="994"/>
      <c r="C187" s="994"/>
      <c r="D187" s="2007" t="s">
        <v>427</v>
      </c>
      <c r="E187" s="2008"/>
      <c r="F187" s="994"/>
      <c r="G187" s="994"/>
      <c r="H187" s="994"/>
      <c r="I187" s="994"/>
      <c r="J187" s="995"/>
      <c r="K187" s="995"/>
      <c r="L187" s="995"/>
      <c r="M187" s="995"/>
      <c r="N187" s="995"/>
      <c r="O187" s="995"/>
      <c r="P187" s="995"/>
      <c r="Q187" s="995"/>
    </row>
    <row r="188" spans="1:17" s="743" customFormat="1" ht="24" thickBot="1">
      <c r="A188" s="2104" t="s">
        <v>1011</v>
      </c>
      <c r="B188" s="2105"/>
      <c r="C188" s="2105"/>
      <c r="D188" s="2105"/>
      <c r="E188" s="2105"/>
      <c r="F188" s="2105"/>
      <c r="G188" s="2105"/>
      <c r="H188" s="2105"/>
      <c r="I188" s="2105"/>
      <c r="J188" s="2106"/>
    </row>
    <row r="189" spans="1:17" s="744" customFormat="1" ht="56.25">
      <c r="A189" s="1066" t="s">
        <v>1012</v>
      </c>
      <c r="B189" s="1066" t="s">
        <v>1013</v>
      </c>
      <c r="C189" s="1066" t="s">
        <v>1014</v>
      </c>
      <c r="D189" s="1067" t="s">
        <v>1015</v>
      </c>
      <c r="E189" s="1068" t="s">
        <v>1016</v>
      </c>
      <c r="F189" s="1068" t="s">
        <v>1017</v>
      </c>
      <c r="G189" s="1069" t="s">
        <v>1018</v>
      </c>
      <c r="H189" s="1070" t="s">
        <v>721</v>
      </c>
      <c r="I189" s="882"/>
      <c r="J189" s="882"/>
      <c r="K189" s="882"/>
      <c r="L189" s="882"/>
      <c r="M189" s="882"/>
      <c r="N189" s="882"/>
    </row>
    <row r="190" spans="1:17">
      <c r="A190" s="768"/>
      <c r="B190" s="997"/>
      <c r="C190" s="997"/>
      <c r="D190" s="1036">
        <f>SUM(B190*0.001)*C190</f>
        <v>0</v>
      </c>
      <c r="E190" s="1071">
        <f>'Emission Factors'!$F$507*D190*0.001</f>
        <v>0</v>
      </c>
      <c r="F190" s="764">
        <f>'Emission Factors'!$G$507*D190*0.001</f>
        <v>0</v>
      </c>
      <c r="G190" s="764">
        <f>'Emission Factors'!$E$507*D190*0.001</f>
        <v>0</v>
      </c>
      <c r="H190" s="822">
        <f>SUM(G190,F190,E190)</f>
        <v>0</v>
      </c>
    </row>
    <row r="191" spans="1:17">
      <c r="A191" s="768"/>
      <c r="B191" s="997"/>
      <c r="C191" s="997"/>
      <c r="D191" s="1036">
        <f t="shared" ref="D191:D199" si="23">SUM(B191*0.001)*C191</f>
        <v>0</v>
      </c>
      <c r="E191" s="1071">
        <f>'Emission Factors'!$F$507*D191*0.001</f>
        <v>0</v>
      </c>
      <c r="F191" s="764">
        <f>'Emission Factors'!$G$507*D191*0.001</f>
        <v>0</v>
      </c>
      <c r="G191" s="764">
        <f>'Emission Factors'!$E$507*D191*0.001</f>
        <v>0</v>
      </c>
      <c r="H191" s="822">
        <f t="shared" ref="H191:H199" si="24">SUM(G191,F191,E191)</f>
        <v>0</v>
      </c>
    </row>
    <row r="192" spans="1:17">
      <c r="A192" s="768"/>
      <c r="B192" s="997"/>
      <c r="C192" s="997"/>
      <c r="D192" s="1036">
        <f t="shared" si="23"/>
        <v>0</v>
      </c>
      <c r="E192" s="1071">
        <f>'Emission Factors'!$F$507*D192*0.001</f>
        <v>0</v>
      </c>
      <c r="F192" s="764">
        <f>'Emission Factors'!$G$507*D192*0.001</f>
        <v>0</v>
      </c>
      <c r="G192" s="764">
        <f>'Emission Factors'!$E$507*D192*0.001</f>
        <v>0</v>
      </c>
      <c r="H192" s="822">
        <f t="shared" si="24"/>
        <v>0</v>
      </c>
    </row>
    <row r="193" spans="1:11">
      <c r="A193" s="768"/>
      <c r="B193" s="997"/>
      <c r="C193" s="997"/>
      <c r="D193" s="1036">
        <f t="shared" si="23"/>
        <v>0</v>
      </c>
      <c r="E193" s="1071">
        <f>'Emission Factors'!$F$507*D193*0.001</f>
        <v>0</v>
      </c>
      <c r="F193" s="764">
        <f>'Emission Factors'!$G$507*D193*0.001</f>
        <v>0</v>
      </c>
      <c r="G193" s="764">
        <f>'Emission Factors'!$E$507*D193*0.001</f>
        <v>0</v>
      </c>
      <c r="H193" s="822">
        <f t="shared" si="24"/>
        <v>0</v>
      </c>
    </row>
    <row r="194" spans="1:11">
      <c r="A194" s="768"/>
      <c r="B194" s="997"/>
      <c r="C194" s="997"/>
      <c r="D194" s="1036">
        <f t="shared" si="23"/>
        <v>0</v>
      </c>
      <c r="E194" s="1071">
        <f>'Emission Factors'!$F$507*D194*0.001</f>
        <v>0</v>
      </c>
      <c r="F194" s="764">
        <f>'Emission Factors'!$G$507*D194*0.001</f>
        <v>0</v>
      </c>
      <c r="G194" s="764">
        <f>'Emission Factors'!$E$507*D194*0.001</f>
        <v>0</v>
      </c>
      <c r="H194" s="822">
        <f t="shared" si="24"/>
        <v>0</v>
      </c>
    </row>
    <row r="195" spans="1:11">
      <c r="A195" s="768"/>
      <c r="B195" s="997"/>
      <c r="C195" s="997"/>
      <c r="D195" s="1036">
        <f t="shared" si="23"/>
        <v>0</v>
      </c>
      <c r="E195" s="1071">
        <f>'Emission Factors'!$F$507*D195*0.001</f>
        <v>0</v>
      </c>
      <c r="F195" s="764">
        <f>'Emission Factors'!$G$507*D195*0.001</f>
        <v>0</v>
      </c>
      <c r="G195" s="764">
        <f>'Emission Factors'!$E$507*D195*0.001</f>
        <v>0</v>
      </c>
      <c r="H195" s="822">
        <f t="shared" si="24"/>
        <v>0</v>
      </c>
    </row>
    <row r="196" spans="1:11">
      <c r="A196" s="768"/>
      <c r="B196" s="997"/>
      <c r="C196" s="997"/>
      <c r="D196" s="1036">
        <f t="shared" si="23"/>
        <v>0</v>
      </c>
      <c r="E196" s="1071">
        <f>'Emission Factors'!$F$507*D196*0.001</f>
        <v>0</v>
      </c>
      <c r="F196" s="764">
        <f>'Emission Factors'!$G$507*D196*0.001</f>
        <v>0</v>
      </c>
      <c r="G196" s="764">
        <f>'Emission Factors'!$E$507*D196*0.001</f>
        <v>0</v>
      </c>
      <c r="H196" s="822">
        <f t="shared" si="24"/>
        <v>0</v>
      </c>
    </row>
    <row r="197" spans="1:11">
      <c r="A197" s="768"/>
      <c r="B197" s="997"/>
      <c r="C197" s="997"/>
      <c r="D197" s="1036">
        <f t="shared" si="23"/>
        <v>0</v>
      </c>
      <c r="E197" s="1071">
        <f>'Emission Factors'!$F$507*D197*0.001</f>
        <v>0</v>
      </c>
      <c r="F197" s="764">
        <f>'Emission Factors'!$G$507*D197*0.001</f>
        <v>0</v>
      </c>
      <c r="G197" s="764">
        <f>'Emission Factors'!$E$507*D197*0.001</f>
        <v>0</v>
      </c>
      <c r="H197" s="822">
        <f t="shared" si="24"/>
        <v>0</v>
      </c>
    </row>
    <row r="198" spans="1:11">
      <c r="A198" s="768"/>
      <c r="B198" s="997"/>
      <c r="C198" s="997"/>
      <c r="D198" s="1036">
        <f t="shared" si="23"/>
        <v>0</v>
      </c>
      <c r="E198" s="1071">
        <f>'Emission Factors'!$F$507*D198*0.001</f>
        <v>0</v>
      </c>
      <c r="F198" s="764">
        <f>'Emission Factors'!$G$507*D198*0.001</f>
        <v>0</v>
      </c>
      <c r="G198" s="764">
        <f>'Emission Factors'!$E$507*D198*0.001</f>
        <v>0</v>
      </c>
      <c r="H198" s="822">
        <f t="shared" si="24"/>
        <v>0</v>
      </c>
    </row>
    <row r="199" spans="1:11" ht="16.5" thickBot="1">
      <c r="A199" s="768"/>
      <c r="B199" s="997"/>
      <c r="C199" s="997"/>
      <c r="D199" s="1036">
        <f t="shared" si="23"/>
        <v>0</v>
      </c>
      <c r="E199" s="1071">
        <f>'Emission Factors'!$F$507*D199*0.001</f>
        <v>0</v>
      </c>
      <c r="F199" s="764">
        <f>'Emission Factors'!$G$507*D199*0.001</f>
        <v>0</v>
      </c>
      <c r="G199" s="1072">
        <f>'Emission Factors'!$E$507*D199*0.001</f>
        <v>0</v>
      </c>
      <c r="H199" s="1073">
        <f t="shared" si="24"/>
        <v>0</v>
      </c>
    </row>
    <row r="200" spans="1:11" ht="16.5" thickBot="1">
      <c r="A200" s="720" t="s">
        <v>1019</v>
      </c>
      <c r="B200" s="1074"/>
      <c r="C200" s="1074"/>
      <c r="E200" s="711"/>
      <c r="F200" s="711"/>
      <c r="G200" s="760" t="s">
        <v>434</v>
      </c>
      <c r="H200" s="762">
        <f>SUM(H190:H199)</f>
        <v>0</v>
      </c>
      <c r="I200" s="711"/>
      <c r="J200" s="809"/>
      <c r="K200" s="809"/>
    </row>
    <row r="201" spans="1:11">
      <c r="A201" s="720"/>
      <c r="B201" s="1082"/>
      <c r="C201" s="1082"/>
      <c r="E201" s="711"/>
      <c r="F201" s="711"/>
      <c r="G201" s="711"/>
      <c r="H201" s="711"/>
      <c r="I201" s="711"/>
      <c r="J201" s="809"/>
      <c r="K201" s="809"/>
    </row>
    <row r="202" spans="1:11" s="743" customFormat="1" ht="23.25">
      <c r="A202" s="1075"/>
      <c r="B202" s="1075"/>
      <c r="C202" s="1075"/>
      <c r="D202" s="2007" t="s">
        <v>427</v>
      </c>
      <c r="E202" s="2008"/>
      <c r="F202" s="926"/>
      <c r="G202" s="926"/>
      <c r="H202" s="926"/>
      <c r="I202" s="926"/>
      <c r="J202" s="911"/>
      <c r="K202" s="911"/>
    </row>
    <row r="203" spans="1:11" s="743" customFormat="1" ht="24" thickBot="1">
      <c r="A203" s="2102" t="s">
        <v>1020</v>
      </c>
      <c r="B203" s="2109"/>
      <c r="C203" s="2109"/>
      <c r="D203" s="2109"/>
      <c r="E203" s="2109"/>
      <c r="F203" s="2109"/>
      <c r="G203" s="2109"/>
      <c r="H203" s="2109"/>
      <c r="I203" s="2109"/>
      <c r="J203" s="2109"/>
      <c r="K203" s="2109"/>
    </row>
    <row r="204" spans="1:11" s="744" customFormat="1" ht="56.25">
      <c r="A204" s="1066" t="s">
        <v>1012</v>
      </c>
      <c r="B204" s="1066" t="s">
        <v>1021</v>
      </c>
      <c r="C204" s="1066" t="s">
        <v>1014</v>
      </c>
      <c r="D204" s="1067" t="s">
        <v>1022</v>
      </c>
      <c r="E204" s="1068" t="s">
        <v>1016</v>
      </c>
      <c r="F204" s="1068" t="s">
        <v>1017</v>
      </c>
      <c r="G204" s="1069" t="s">
        <v>1018</v>
      </c>
      <c r="H204" s="1070" t="s">
        <v>721</v>
      </c>
      <c r="I204" s="882"/>
    </row>
    <row r="205" spans="1:11">
      <c r="A205" s="768"/>
      <c r="B205" s="997"/>
      <c r="C205" s="997"/>
      <c r="D205" s="1036">
        <f>SUM(B205/1000)*C205</f>
        <v>0</v>
      </c>
      <c r="E205" s="1071">
        <f>'Emission Factors'!$J$463*D205*0.001</f>
        <v>0</v>
      </c>
      <c r="F205" s="1071">
        <f>'Emission Factors'!$K$463*D205*0.001</f>
        <v>0</v>
      </c>
      <c r="G205" s="764">
        <f>'Emission Factors'!$I$463*D205*0.001</f>
        <v>0</v>
      </c>
      <c r="H205" s="822">
        <f>SUM(G205,F205,E205)</f>
        <v>0</v>
      </c>
    </row>
    <row r="206" spans="1:11">
      <c r="A206" s="768"/>
      <c r="B206" s="997"/>
      <c r="C206" s="997"/>
      <c r="D206" s="1036">
        <f t="shared" ref="D206:D214" si="25">SUM(B206/1000)*C206</f>
        <v>0</v>
      </c>
      <c r="E206" s="1071">
        <f>'Emission Factors'!$J$463*D206*0.001</f>
        <v>0</v>
      </c>
      <c r="F206" s="1071">
        <f>'Emission Factors'!$K$463*D206*0.001</f>
        <v>0</v>
      </c>
      <c r="G206" s="764">
        <f>'Emission Factors'!$I$463*D206*0.001</f>
        <v>0</v>
      </c>
      <c r="H206" s="822">
        <f t="shared" ref="H206:H214" si="26">SUM(G206,F206,E206)</f>
        <v>0</v>
      </c>
    </row>
    <row r="207" spans="1:11">
      <c r="A207" s="768"/>
      <c r="B207" s="997"/>
      <c r="C207" s="997"/>
      <c r="D207" s="1036">
        <f t="shared" si="25"/>
        <v>0</v>
      </c>
      <c r="E207" s="1071">
        <f>'Emission Factors'!$J$463*D207*0.001</f>
        <v>0</v>
      </c>
      <c r="F207" s="1071">
        <f>'Emission Factors'!$K$463*D207*0.001</f>
        <v>0</v>
      </c>
      <c r="G207" s="764">
        <f>'Emission Factors'!$I$463*D207*0.001</f>
        <v>0</v>
      </c>
      <c r="H207" s="822">
        <f t="shared" si="26"/>
        <v>0</v>
      </c>
    </row>
    <row r="208" spans="1:11">
      <c r="A208" s="768"/>
      <c r="B208" s="997"/>
      <c r="C208" s="997"/>
      <c r="D208" s="1036">
        <f t="shared" si="25"/>
        <v>0</v>
      </c>
      <c r="E208" s="1071">
        <f>'Emission Factors'!$J$463*D208*0.001</f>
        <v>0</v>
      </c>
      <c r="F208" s="1071">
        <f>'Emission Factors'!$K$463*D208*0.001</f>
        <v>0</v>
      </c>
      <c r="G208" s="764">
        <f>'Emission Factors'!$I$463*D208*0.001</f>
        <v>0</v>
      </c>
      <c r="H208" s="822">
        <f t="shared" si="26"/>
        <v>0</v>
      </c>
    </row>
    <row r="209" spans="1:11">
      <c r="A209" s="768"/>
      <c r="B209" s="997"/>
      <c r="C209" s="997"/>
      <c r="D209" s="1036">
        <f t="shared" si="25"/>
        <v>0</v>
      </c>
      <c r="E209" s="1071">
        <f>'Emission Factors'!$J$463*D209*0.001</f>
        <v>0</v>
      </c>
      <c r="F209" s="1071">
        <f>'Emission Factors'!$K$463*D209*0.001</f>
        <v>0</v>
      </c>
      <c r="G209" s="764">
        <f>'Emission Factors'!$I$463*D209*0.001</f>
        <v>0</v>
      </c>
      <c r="H209" s="822">
        <f t="shared" si="26"/>
        <v>0</v>
      </c>
    </row>
    <row r="210" spans="1:11">
      <c r="A210" s="768"/>
      <c r="B210" s="997"/>
      <c r="C210" s="997"/>
      <c r="D210" s="1036">
        <f t="shared" si="25"/>
        <v>0</v>
      </c>
      <c r="E210" s="1071">
        <f>'Emission Factors'!$J$463*D210*0.001</f>
        <v>0</v>
      </c>
      <c r="F210" s="1071">
        <f>'Emission Factors'!$K$463*D210*0.001</f>
        <v>0</v>
      </c>
      <c r="G210" s="764">
        <f>'Emission Factors'!$I$463*D210*0.001</f>
        <v>0</v>
      </c>
      <c r="H210" s="822">
        <f t="shared" si="26"/>
        <v>0</v>
      </c>
    </row>
    <row r="211" spans="1:11">
      <c r="A211" s="768"/>
      <c r="B211" s="997"/>
      <c r="C211" s="997"/>
      <c r="D211" s="1036">
        <f t="shared" si="25"/>
        <v>0</v>
      </c>
      <c r="E211" s="1071">
        <f>'Emission Factors'!$J$463*D211*0.001</f>
        <v>0</v>
      </c>
      <c r="F211" s="1071">
        <f>'Emission Factors'!$K$463*D211*0.001</f>
        <v>0</v>
      </c>
      <c r="G211" s="764">
        <f>'Emission Factors'!$I$463*D211*0.001</f>
        <v>0</v>
      </c>
      <c r="H211" s="822">
        <f t="shared" si="26"/>
        <v>0</v>
      </c>
    </row>
    <row r="212" spans="1:11">
      <c r="A212" s="768"/>
      <c r="B212" s="997"/>
      <c r="C212" s="997"/>
      <c r="D212" s="1036">
        <f t="shared" si="25"/>
        <v>0</v>
      </c>
      <c r="E212" s="1071">
        <f>'Emission Factors'!$J$463*D212*0.001</f>
        <v>0</v>
      </c>
      <c r="F212" s="1071">
        <f>'Emission Factors'!$K$463*D212*0.001</f>
        <v>0</v>
      </c>
      <c r="G212" s="764">
        <f>'Emission Factors'!$I$463*D212*0.001</f>
        <v>0</v>
      </c>
      <c r="H212" s="822">
        <f t="shared" si="26"/>
        <v>0</v>
      </c>
    </row>
    <row r="213" spans="1:11">
      <c r="A213" s="768"/>
      <c r="B213" s="997"/>
      <c r="C213" s="997"/>
      <c r="D213" s="1036">
        <f t="shared" si="25"/>
        <v>0</v>
      </c>
      <c r="E213" s="1071">
        <f>'Emission Factors'!$J$463*D213*0.001</f>
        <v>0</v>
      </c>
      <c r="F213" s="1071">
        <f>'Emission Factors'!$K$463*D213*0.001</f>
        <v>0</v>
      </c>
      <c r="G213" s="764">
        <f>'Emission Factors'!$I$463*D213*0.001</f>
        <v>0</v>
      </c>
      <c r="H213" s="822">
        <f t="shared" si="26"/>
        <v>0</v>
      </c>
    </row>
    <row r="214" spans="1:11" ht="16.5" thickBot="1">
      <c r="A214" s="768"/>
      <c r="B214" s="997"/>
      <c r="C214" s="997"/>
      <c r="D214" s="1036">
        <f t="shared" si="25"/>
        <v>0</v>
      </c>
      <c r="E214" s="1071">
        <f>'Emission Factors'!$J$463*D214*0.001</f>
        <v>0</v>
      </c>
      <c r="F214" s="1071">
        <f>'Emission Factors'!$K$463*D214*0.001</f>
        <v>0</v>
      </c>
      <c r="G214" s="764">
        <f>'Emission Factors'!$I$463*D214*0.001</f>
        <v>0</v>
      </c>
      <c r="H214" s="1073">
        <f t="shared" si="26"/>
        <v>0</v>
      </c>
    </row>
    <row r="215" spans="1:11" ht="16.5" thickBot="1">
      <c r="A215" s="720" t="s">
        <v>1023</v>
      </c>
      <c r="B215" s="728"/>
      <c r="C215" s="728"/>
      <c r="D215" s="720"/>
      <c r="E215" s="711"/>
      <c r="F215" s="711"/>
      <c r="G215" s="760" t="s">
        <v>434</v>
      </c>
      <c r="H215" s="762">
        <f>SUM(H205:H214)</f>
        <v>0</v>
      </c>
      <c r="I215" s="711"/>
      <c r="J215" s="809"/>
    </row>
    <row r="216" spans="1:11">
      <c r="A216" s="728"/>
      <c r="B216" s="728"/>
      <c r="C216" s="728"/>
      <c r="D216" s="720"/>
      <c r="E216" s="711"/>
      <c r="F216" s="711"/>
      <c r="G216" s="711"/>
      <c r="H216" s="711"/>
      <c r="I216" s="711"/>
      <c r="J216" s="809"/>
      <c r="K216" s="809"/>
    </row>
    <row r="217" spans="1:11" s="743" customFormat="1" ht="23.25">
      <c r="A217" s="1076"/>
      <c r="B217" s="1076"/>
      <c r="C217" s="1076"/>
      <c r="D217" s="2007" t="s">
        <v>427</v>
      </c>
      <c r="E217" s="2008"/>
      <c r="F217" s="926"/>
      <c r="G217" s="926"/>
      <c r="H217" s="926"/>
      <c r="I217" s="926"/>
      <c r="J217" s="911"/>
      <c r="K217" s="911"/>
    </row>
    <row r="218" spans="1:11" s="743" customFormat="1" ht="24" thickBot="1">
      <c r="A218" s="2102" t="s">
        <v>1024</v>
      </c>
      <c r="B218" s="2109"/>
      <c r="C218" s="2109"/>
      <c r="D218" s="2109"/>
      <c r="E218" s="2109"/>
      <c r="F218" s="2109"/>
      <c r="G218" s="2109"/>
      <c r="H218" s="2109"/>
      <c r="I218" s="2109"/>
      <c r="J218" s="2109"/>
      <c r="K218" s="2109"/>
    </row>
    <row r="219" spans="1:11" s="744" customFormat="1" ht="56.25">
      <c r="A219" s="1066" t="s">
        <v>1012</v>
      </c>
      <c r="B219" s="1066" t="s">
        <v>1021</v>
      </c>
      <c r="C219" s="1066" t="s">
        <v>1014</v>
      </c>
      <c r="D219" s="1067" t="s">
        <v>1022</v>
      </c>
      <c r="E219" s="1068" t="s">
        <v>1016</v>
      </c>
      <c r="F219" s="1068" t="s">
        <v>1017</v>
      </c>
      <c r="G219" s="1069" t="s">
        <v>1018</v>
      </c>
      <c r="H219" s="1070" t="s">
        <v>721</v>
      </c>
      <c r="I219" s="882"/>
    </row>
    <row r="220" spans="1:11">
      <c r="A220" s="768"/>
      <c r="B220" s="997"/>
      <c r="C220" s="997"/>
      <c r="D220" s="1036">
        <f>SUM(B220*0.001)*C220</f>
        <v>0</v>
      </c>
      <c r="E220" s="1071">
        <f>'Emission Factors'!$F$362*$D220*0.001</f>
        <v>0</v>
      </c>
      <c r="F220" s="1071">
        <f>'Emission Factors'!$G$362*$D220*0.001</f>
        <v>0</v>
      </c>
      <c r="G220" s="1071">
        <f>'Emission Factors'!$E$362*$D220*0.001</f>
        <v>0</v>
      </c>
      <c r="H220" s="822">
        <f>SUM(G220,F220,E220)</f>
        <v>0</v>
      </c>
    </row>
    <row r="221" spans="1:11">
      <c r="A221" s="768"/>
      <c r="B221" s="997"/>
      <c r="C221" s="997"/>
      <c r="D221" s="1036">
        <f t="shared" ref="D221:D230" si="27">SUM(B221*0.001)*C221</f>
        <v>0</v>
      </c>
      <c r="E221" s="1071">
        <f>'Emission Factors'!$F$362*D221*0.001</f>
        <v>0</v>
      </c>
      <c r="F221" s="1071">
        <f>'Emission Factors'!$G$362*$D221*0.001</f>
        <v>0</v>
      </c>
      <c r="G221" s="1071">
        <f>'Emission Factors'!$E$362*$D221*0.001</f>
        <v>0</v>
      </c>
      <c r="H221" s="822">
        <f t="shared" ref="H221:H229" si="28">SUM(G221,F221,E221)</f>
        <v>0</v>
      </c>
    </row>
    <row r="222" spans="1:11">
      <c r="A222" s="768"/>
      <c r="B222" s="997"/>
      <c r="C222" s="997"/>
      <c r="D222" s="1036">
        <f t="shared" si="27"/>
        <v>0</v>
      </c>
      <c r="E222" s="1071">
        <f>'Emission Factors'!$F$362*D222*0.001</f>
        <v>0</v>
      </c>
      <c r="F222" s="1071">
        <f>'Emission Factors'!$G$362*$D222*0.001</f>
        <v>0</v>
      </c>
      <c r="G222" s="1071">
        <f>'Emission Factors'!$E$362*$D222*0.001</f>
        <v>0</v>
      </c>
      <c r="H222" s="822">
        <f t="shared" si="28"/>
        <v>0</v>
      </c>
    </row>
    <row r="223" spans="1:11">
      <c r="A223" s="768"/>
      <c r="B223" s="997"/>
      <c r="C223" s="997"/>
      <c r="D223" s="1036">
        <f t="shared" si="27"/>
        <v>0</v>
      </c>
      <c r="E223" s="1071">
        <f>'Emission Factors'!$F$362*D223*0.001</f>
        <v>0</v>
      </c>
      <c r="F223" s="1071">
        <f>'Emission Factors'!$G$362*$D223*0.001</f>
        <v>0</v>
      </c>
      <c r="G223" s="1071">
        <f>'Emission Factors'!$E$362*$D223*0.001</f>
        <v>0</v>
      </c>
      <c r="H223" s="822">
        <f t="shared" si="28"/>
        <v>0</v>
      </c>
    </row>
    <row r="224" spans="1:11">
      <c r="A224" s="768"/>
      <c r="B224" s="997"/>
      <c r="C224" s="997"/>
      <c r="D224" s="1036">
        <f t="shared" si="27"/>
        <v>0</v>
      </c>
      <c r="E224" s="1071">
        <f>'Emission Factors'!$F$362*D224*0.001</f>
        <v>0</v>
      </c>
      <c r="F224" s="1071">
        <f>'Emission Factors'!$G$362*$D224*0.001</f>
        <v>0</v>
      </c>
      <c r="G224" s="1071">
        <f>'Emission Factors'!$E$362*$D224*0.001</f>
        <v>0</v>
      </c>
      <c r="H224" s="822">
        <f t="shared" si="28"/>
        <v>0</v>
      </c>
    </row>
    <row r="225" spans="1:11">
      <c r="A225" s="768"/>
      <c r="B225" s="997"/>
      <c r="C225" s="997"/>
      <c r="D225" s="1036">
        <f t="shared" si="27"/>
        <v>0</v>
      </c>
      <c r="E225" s="1071">
        <f>'Emission Factors'!$F$362*D225*0.001</f>
        <v>0</v>
      </c>
      <c r="F225" s="1071">
        <f>'Emission Factors'!$G$362*$D225*0.001</f>
        <v>0</v>
      </c>
      <c r="G225" s="1071">
        <f>'Emission Factors'!$E$362*$D225*0.001</f>
        <v>0</v>
      </c>
      <c r="H225" s="822">
        <f t="shared" si="28"/>
        <v>0</v>
      </c>
    </row>
    <row r="226" spans="1:11">
      <c r="A226" s="768"/>
      <c r="B226" s="997"/>
      <c r="C226" s="997"/>
      <c r="D226" s="1036">
        <f t="shared" si="27"/>
        <v>0</v>
      </c>
      <c r="E226" s="1071">
        <f>'Emission Factors'!$F$362*D226*0.001</f>
        <v>0</v>
      </c>
      <c r="F226" s="1071">
        <f>'Emission Factors'!$G$362*$D226*0.001</f>
        <v>0</v>
      </c>
      <c r="G226" s="1071">
        <f>'Emission Factors'!$E$362*$D226*0.001</f>
        <v>0</v>
      </c>
      <c r="H226" s="822">
        <f t="shared" si="28"/>
        <v>0</v>
      </c>
    </row>
    <row r="227" spans="1:11">
      <c r="A227" s="768"/>
      <c r="B227" s="997"/>
      <c r="C227" s="997"/>
      <c r="D227" s="1036">
        <f t="shared" si="27"/>
        <v>0</v>
      </c>
      <c r="E227" s="1071">
        <f>'Emission Factors'!$F$362*D227*0.001</f>
        <v>0</v>
      </c>
      <c r="F227" s="1071">
        <f>'Emission Factors'!$G$362*$D227*0.001</f>
        <v>0</v>
      </c>
      <c r="G227" s="1071">
        <f>'Emission Factors'!$E$362*$D227*0.001</f>
        <v>0</v>
      </c>
      <c r="H227" s="822">
        <f t="shared" si="28"/>
        <v>0</v>
      </c>
    </row>
    <row r="228" spans="1:11">
      <c r="A228" s="768"/>
      <c r="B228" s="997"/>
      <c r="C228" s="997"/>
      <c r="D228" s="1036">
        <f t="shared" si="27"/>
        <v>0</v>
      </c>
      <c r="E228" s="1071">
        <f>'Emission Factors'!$F$362*D228*0.001</f>
        <v>0</v>
      </c>
      <c r="F228" s="1071">
        <f>'Emission Factors'!$G$362*$D228*0.001</f>
        <v>0</v>
      </c>
      <c r="G228" s="1071">
        <f>'Emission Factors'!$E$362*$D228*0.001</f>
        <v>0</v>
      </c>
      <c r="H228" s="822">
        <f t="shared" si="28"/>
        <v>0</v>
      </c>
    </row>
    <row r="229" spans="1:11">
      <c r="A229" s="768"/>
      <c r="B229" s="997"/>
      <c r="C229" s="997"/>
      <c r="D229" s="1036">
        <f t="shared" si="27"/>
        <v>0</v>
      </c>
      <c r="E229" s="1071">
        <f>'Emission Factors'!$F$362*D229*0.001</f>
        <v>0</v>
      </c>
      <c r="F229" s="1071">
        <f>'Emission Factors'!$G$362*$D229*0.001</f>
        <v>0</v>
      </c>
      <c r="G229" s="1071">
        <f>'Emission Factors'!$E$362*$D229*0.001</f>
        <v>0</v>
      </c>
      <c r="H229" s="1073">
        <f t="shared" si="28"/>
        <v>0</v>
      </c>
    </row>
    <row r="230" spans="1:11" ht="16.5" thickBot="1">
      <c r="A230" s="768"/>
      <c r="B230" s="997"/>
      <c r="C230" s="997"/>
      <c r="D230" s="1036">
        <f t="shared" si="27"/>
        <v>0</v>
      </c>
      <c r="E230" s="1071">
        <f>'Emission Factors'!$F$362*D230*0.001</f>
        <v>0</v>
      </c>
      <c r="F230" s="1071">
        <f>'Emission Factors'!$G$362*$D230*0.001</f>
        <v>0</v>
      </c>
      <c r="G230" s="1071">
        <f>'Emission Factors'!$E$362*$D230*0.001</f>
        <v>0</v>
      </c>
      <c r="H230" s="822">
        <f>SUM(G230,F230,E230)</f>
        <v>0</v>
      </c>
    </row>
    <row r="231" spans="1:11" ht="16.5" thickBot="1">
      <c r="A231" s="720" t="s">
        <v>1025</v>
      </c>
      <c r="B231" s="728"/>
      <c r="C231" s="728"/>
      <c r="D231" s="720"/>
      <c r="E231" s="711"/>
      <c r="F231" s="711"/>
      <c r="G231" s="760" t="s">
        <v>434</v>
      </c>
      <c r="H231" s="762">
        <f>SUM(H220:H230)</f>
        <v>0</v>
      </c>
      <c r="I231" s="711"/>
      <c r="J231" s="809"/>
    </row>
    <row r="232" spans="1:11">
      <c r="A232" s="728"/>
      <c r="B232" s="728"/>
      <c r="C232" s="728"/>
      <c r="D232" s="720"/>
      <c r="E232" s="711"/>
      <c r="F232" s="711"/>
      <c r="G232" s="711"/>
      <c r="H232" s="711"/>
      <c r="I232" s="711"/>
      <c r="J232" s="809"/>
      <c r="K232" s="809"/>
    </row>
    <row r="233" spans="1:11" s="743" customFormat="1" ht="23.25">
      <c r="A233" s="1076"/>
      <c r="B233" s="1076"/>
      <c r="C233" s="1076"/>
      <c r="D233" s="2007" t="s">
        <v>427</v>
      </c>
      <c r="E233" s="2008"/>
      <c r="F233" s="926"/>
      <c r="G233" s="926"/>
      <c r="H233" s="926"/>
      <c r="I233" s="926"/>
      <c r="J233" s="911"/>
      <c r="K233" s="911"/>
    </row>
    <row r="234" spans="1:11" s="743" customFormat="1" ht="23.45" customHeight="1" thickBot="1">
      <c r="A234" s="2102" t="s">
        <v>1026</v>
      </c>
      <c r="B234" s="2109"/>
      <c r="C234" s="2109"/>
      <c r="D234" s="2109"/>
      <c r="E234" s="2109"/>
      <c r="F234" s="2109"/>
      <c r="G234" s="2109"/>
      <c r="H234" s="2109"/>
      <c r="I234" s="2109"/>
      <c r="J234" s="2109"/>
      <c r="K234" s="2109"/>
    </row>
    <row r="235" spans="1:11" s="744" customFormat="1" ht="56.25">
      <c r="A235" s="1066" t="s">
        <v>1012</v>
      </c>
      <c r="B235" s="1066" t="s">
        <v>1021</v>
      </c>
      <c r="C235" s="1066" t="s">
        <v>1014</v>
      </c>
      <c r="D235" s="1067" t="s">
        <v>1022</v>
      </c>
      <c r="E235" s="1068" t="s">
        <v>1016</v>
      </c>
      <c r="F235" s="1068" t="s">
        <v>1017</v>
      </c>
      <c r="G235" s="1069" t="s">
        <v>1018</v>
      </c>
      <c r="H235" s="1070" t="s">
        <v>721</v>
      </c>
      <c r="I235" s="882"/>
    </row>
    <row r="236" spans="1:11">
      <c r="A236" s="768"/>
      <c r="B236" s="997"/>
      <c r="C236" s="997"/>
      <c r="D236" s="1036">
        <f>SUM(B236*0.001)*C236</f>
        <v>0</v>
      </c>
      <c r="E236" s="1071">
        <f>'Emission Factors'!$F$470*$D236*0.001</f>
        <v>0</v>
      </c>
      <c r="F236" s="1071">
        <f>'Emission Factors'!$G$470*$D236*0.001</f>
        <v>0</v>
      </c>
      <c r="G236" s="1071">
        <f>'Emission Factors'!$E$470*$D236*0.001</f>
        <v>0</v>
      </c>
      <c r="H236" s="822">
        <f>SUM(G236,F236,E236)</f>
        <v>0</v>
      </c>
    </row>
    <row r="237" spans="1:11">
      <c r="A237" s="768"/>
      <c r="B237" s="997"/>
      <c r="C237" s="997"/>
      <c r="D237" s="1036">
        <f t="shared" ref="D237:D245" si="29">SUM(B237*0.001)*C237</f>
        <v>0</v>
      </c>
      <c r="E237" s="1071">
        <f>'Emission Factors'!$F$470*$D237*0.001</f>
        <v>0</v>
      </c>
      <c r="F237" s="1071">
        <f>'Emission Factors'!$G$470*$D237*0.001</f>
        <v>0</v>
      </c>
      <c r="G237" s="1071">
        <f>'Emission Factors'!$E$470*$D237*0.001</f>
        <v>0</v>
      </c>
      <c r="H237" s="822">
        <f t="shared" ref="H237:H245" si="30">SUM(G237,F237,E237)</f>
        <v>0</v>
      </c>
    </row>
    <row r="238" spans="1:11">
      <c r="A238" s="768"/>
      <c r="B238" s="997"/>
      <c r="C238" s="997"/>
      <c r="D238" s="1036">
        <f t="shared" si="29"/>
        <v>0</v>
      </c>
      <c r="E238" s="1071">
        <f>'Emission Factors'!$F$470*$D238*0.001</f>
        <v>0</v>
      </c>
      <c r="F238" s="1071">
        <f>'Emission Factors'!$G$470*$D238*0.001</f>
        <v>0</v>
      </c>
      <c r="G238" s="1071">
        <f>'Emission Factors'!$E$470*$D238*0.001</f>
        <v>0</v>
      </c>
      <c r="H238" s="822">
        <f t="shared" si="30"/>
        <v>0</v>
      </c>
    </row>
    <row r="239" spans="1:11">
      <c r="A239" s="768"/>
      <c r="B239" s="997"/>
      <c r="C239" s="997"/>
      <c r="D239" s="1036">
        <f t="shared" si="29"/>
        <v>0</v>
      </c>
      <c r="E239" s="1071">
        <f>'Emission Factors'!$F$470*$D239*0.001</f>
        <v>0</v>
      </c>
      <c r="F239" s="1071">
        <f>'Emission Factors'!$G$470*$D239*0.001</f>
        <v>0</v>
      </c>
      <c r="G239" s="1071">
        <f>'Emission Factors'!$E$470*$D239*0.001</f>
        <v>0</v>
      </c>
      <c r="H239" s="822">
        <f t="shared" si="30"/>
        <v>0</v>
      </c>
    </row>
    <row r="240" spans="1:11">
      <c r="A240" s="768"/>
      <c r="B240" s="997"/>
      <c r="C240" s="997"/>
      <c r="D240" s="1036">
        <f t="shared" si="29"/>
        <v>0</v>
      </c>
      <c r="E240" s="1071">
        <f>'Emission Factors'!$F$470*$D240*0.001</f>
        <v>0</v>
      </c>
      <c r="F240" s="1071">
        <f>'Emission Factors'!$G$470*$D240*0.001</f>
        <v>0</v>
      </c>
      <c r="G240" s="1071">
        <f>'Emission Factors'!$E$470*$D240*0.001</f>
        <v>0</v>
      </c>
      <c r="H240" s="822">
        <f t="shared" si="30"/>
        <v>0</v>
      </c>
    </row>
    <row r="241" spans="1:14">
      <c r="A241" s="768"/>
      <c r="B241" s="997"/>
      <c r="C241" s="997"/>
      <c r="D241" s="1036">
        <f t="shared" si="29"/>
        <v>0</v>
      </c>
      <c r="E241" s="1071">
        <f>'Emission Factors'!$F$470*$D241*0.001</f>
        <v>0</v>
      </c>
      <c r="F241" s="1071">
        <f>'Emission Factors'!$G$470*$D241*0.001</f>
        <v>0</v>
      </c>
      <c r="G241" s="1071">
        <f>'Emission Factors'!$E$470*$D241*0.001</f>
        <v>0</v>
      </c>
      <c r="H241" s="822">
        <f t="shared" si="30"/>
        <v>0</v>
      </c>
    </row>
    <row r="242" spans="1:14">
      <c r="A242" s="768"/>
      <c r="B242" s="997"/>
      <c r="C242" s="997"/>
      <c r="D242" s="1036">
        <f t="shared" si="29"/>
        <v>0</v>
      </c>
      <c r="E242" s="1071">
        <f>'Emission Factors'!$F$470*$D242*0.001</f>
        <v>0</v>
      </c>
      <c r="F242" s="1071">
        <f>'Emission Factors'!$G$470*$D242*0.001</f>
        <v>0</v>
      </c>
      <c r="G242" s="1071">
        <f>'Emission Factors'!$E$470*$D242*0.001</f>
        <v>0</v>
      </c>
      <c r="H242" s="822">
        <f t="shared" si="30"/>
        <v>0</v>
      </c>
    </row>
    <row r="243" spans="1:14">
      <c r="A243" s="768"/>
      <c r="B243" s="997"/>
      <c r="C243" s="997"/>
      <c r="D243" s="1036">
        <f t="shared" si="29"/>
        <v>0</v>
      </c>
      <c r="E243" s="1071">
        <f>'Emission Factors'!$F$470*$D243*0.001</f>
        <v>0</v>
      </c>
      <c r="F243" s="1071">
        <f>'Emission Factors'!$G$470*$D243*0.001</f>
        <v>0</v>
      </c>
      <c r="G243" s="1071">
        <f>'Emission Factors'!$E$470*$D243*0.001</f>
        <v>0</v>
      </c>
      <c r="H243" s="822">
        <f t="shared" si="30"/>
        <v>0</v>
      </c>
    </row>
    <row r="244" spans="1:14">
      <c r="A244" s="768"/>
      <c r="B244" s="997"/>
      <c r="C244" s="997"/>
      <c r="D244" s="1036">
        <f t="shared" si="29"/>
        <v>0</v>
      </c>
      <c r="E244" s="1071">
        <f>'Emission Factors'!$F$470*$D244*0.001</f>
        <v>0</v>
      </c>
      <c r="F244" s="1071">
        <f>'Emission Factors'!$G$470*$D244*0.001</f>
        <v>0</v>
      </c>
      <c r="G244" s="1071">
        <f>'Emission Factors'!$E$470*$D244*0.001</f>
        <v>0</v>
      </c>
      <c r="H244" s="822">
        <f t="shared" si="30"/>
        <v>0</v>
      </c>
    </row>
    <row r="245" spans="1:14" ht="16.5" thickBot="1">
      <c r="A245" s="768"/>
      <c r="B245" s="997"/>
      <c r="C245" s="997"/>
      <c r="D245" s="1036">
        <f t="shared" si="29"/>
        <v>0</v>
      </c>
      <c r="E245" s="1071">
        <f>'Emission Factors'!$F$470*$D245*0.001</f>
        <v>0</v>
      </c>
      <c r="F245" s="1071">
        <f>'Emission Factors'!$G$470*$D245*0.001</f>
        <v>0</v>
      </c>
      <c r="G245" s="1071">
        <f>'Emission Factors'!$E$470*$D245*0.001</f>
        <v>0</v>
      </c>
      <c r="H245" s="1073">
        <f t="shared" si="30"/>
        <v>0</v>
      </c>
    </row>
    <row r="246" spans="1:14" ht="19.5" thickBot="1">
      <c r="A246" s="1079" t="s">
        <v>1027</v>
      </c>
      <c r="B246" s="728"/>
      <c r="C246" s="728"/>
      <c r="D246" s="720"/>
      <c r="E246" s="711"/>
      <c r="F246" s="711"/>
      <c r="G246" s="760" t="s">
        <v>434</v>
      </c>
      <c r="H246" s="762">
        <f>SUM(H236:H245)</f>
        <v>0</v>
      </c>
      <c r="I246" s="711"/>
      <c r="J246" s="809"/>
      <c r="K246" s="809"/>
    </row>
    <row r="248" spans="1:14" s="743" customFormat="1" ht="23.25">
      <c r="A248" s="2107" t="s">
        <v>1009</v>
      </c>
      <c r="B248" s="2108"/>
      <c r="C248" s="2108"/>
      <c r="D248" s="2108"/>
      <c r="E248" s="2108"/>
      <c r="F248" s="2108"/>
      <c r="G248" s="2108"/>
      <c r="H248" s="2108"/>
      <c r="I248" s="2108"/>
      <c r="J248" s="2108"/>
      <c r="K248" s="2108"/>
      <c r="L248" s="2108"/>
      <c r="M248" s="2108"/>
      <c r="N248" s="2108"/>
    </row>
    <row r="249" spans="1:14" s="744" customFormat="1" ht="24" thickBot="1">
      <c r="A249" s="1083"/>
      <c r="B249" s="926"/>
      <c r="C249" s="926"/>
      <c r="D249" s="926"/>
      <c r="E249" s="2007" t="s">
        <v>427</v>
      </c>
      <c r="F249" s="2008"/>
      <c r="G249" s="926"/>
      <c r="H249" s="926"/>
      <c r="I249" s="926"/>
      <c r="J249" s="926"/>
      <c r="K249" s="911"/>
      <c r="L249" s="911"/>
      <c r="M249" s="743"/>
      <c r="N249" s="743"/>
    </row>
    <row r="250" spans="1:14" ht="75">
      <c r="A250" s="692" t="s">
        <v>1033</v>
      </c>
      <c r="B250" s="692" t="s">
        <v>1040</v>
      </c>
      <c r="C250" s="1049" t="s">
        <v>1041</v>
      </c>
      <c r="D250" s="747" t="s">
        <v>1042</v>
      </c>
      <c r="E250" s="1049" t="s">
        <v>1043</v>
      </c>
      <c r="F250" s="747" t="s">
        <v>1035</v>
      </c>
      <c r="G250" s="1049" t="s">
        <v>1044</v>
      </c>
      <c r="H250" s="747" t="s">
        <v>1045</v>
      </c>
      <c r="I250" s="1084" t="s">
        <v>1046</v>
      </c>
    </row>
    <row r="251" spans="1:14">
      <c r="A251" s="963"/>
      <c r="B251" s="915"/>
      <c r="C251" s="915"/>
      <c r="D251" s="764">
        <f>B251*C251*0.001</f>
        <v>0</v>
      </c>
      <c r="E251" s="768"/>
      <c r="F251" s="764">
        <f t="shared" ref="F251:F260" si="31">B251*E251*0.000001</f>
        <v>0</v>
      </c>
      <c r="G251" s="768"/>
      <c r="H251" s="764">
        <f>B251*G251*0.000001</f>
        <v>0</v>
      </c>
      <c r="I251" s="701">
        <f>D251+(F251*'Emission Factors'!$C$6)+(H251*'Emission Factors'!$C$7)</f>
        <v>0</v>
      </c>
    </row>
    <row r="252" spans="1:14">
      <c r="A252" s="963"/>
      <c r="B252" s="915"/>
      <c r="C252" s="915"/>
      <c r="D252" s="764">
        <f t="shared" ref="D252:D260" si="32">B252*C252*0.001</f>
        <v>0</v>
      </c>
      <c r="E252" s="768"/>
      <c r="F252" s="764">
        <f t="shared" si="31"/>
        <v>0</v>
      </c>
      <c r="G252" s="768"/>
      <c r="H252" s="764">
        <f t="shared" ref="H252:H260" si="33">B252*G252</f>
        <v>0</v>
      </c>
      <c r="I252" s="701">
        <f>D252+(F252*'Emission Factors'!$C$6)+(H252*'Emission Factors'!$C$7)</f>
        <v>0</v>
      </c>
    </row>
    <row r="253" spans="1:14">
      <c r="A253" s="963"/>
      <c r="B253" s="915"/>
      <c r="C253" s="915"/>
      <c r="D253" s="764">
        <f t="shared" si="32"/>
        <v>0</v>
      </c>
      <c r="E253" s="768"/>
      <c r="F253" s="764">
        <f t="shared" si="31"/>
        <v>0</v>
      </c>
      <c r="G253" s="768"/>
      <c r="H253" s="764">
        <f t="shared" si="33"/>
        <v>0</v>
      </c>
      <c r="I253" s="701">
        <f>D253+(F253*'Emission Factors'!$C$6)+(H253*'Emission Factors'!$C$7)</f>
        <v>0</v>
      </c>
    </row>
    <row r="254" spans="1:14">
      <c r="A254" s="963"/>
      <c r="B254" s="915"/>
      <c r="C254" s="915"/>
      <c r="D254" s="764">
        <f t="shared" si="32"/>
        <v>0</v>
      </c>
      <c r="E254" s="768"/>
      <c r="F254" s="764">
        <f t="shared" si="31"/>
        <v>0</v>
      </c>
      <c r="G254" s="768"/>
      <c r="H254" s="764">
        <f t="shared" si="33"/>
        <v>0</v>
      </c>
      <c r="I254" s="701">
        <f>D254+(F254*'Emission Factors'!$C$6)+(H254*'Emission Factors'!$C$7)</f>
        <v>0</v>
      </c>
    </row>
    <row r="255" spans="1:14">
      <c r="A255" s="963"/>
      <c r="B255" s="915"/>
      <c r="C255" s="915"/>
      <c r="D255" s="764">
        <f t="shared" si="32"/>
        <v>0</v>
      </c>
      <c r="E255" s="768"/>
      <c r="F255" s="764">
        <f t="shared" si="31"/>
        <v>0</v>
      </c>
      <c r="G255" s="768"/>
      <c r="H255" s="764">
        <f t="shared" si="33"/>
        <v>0</v>
      </c>
      <c r="I255" s="701">
        <f>D255+(F255*'Emission Factors'!$C$6)+(H255*'Emission Factors'!$C$7)</f>
        <v>0</v>
      </c>
    </row>
    <row r="256" spans="1:14">
      <c r="A256" s="963"/>
      <c r="B256" s="915"/>
      <c r="C256" s="915"/>
      <c r="D256" s="764">
        <f t="shared" si="32"/>
        <v>0</v>
      </c>
      <c r="E256" s="768"/>
      <c r="F256" s="764">
        <f t="shared" si="31"/>
        <v>0</v>
      </c>
      <c r="G256" s="768"/>
      <c r="H256" s="764">
        <f t="shared" si="33"/>
        <v>0</v>
      </c>
      <c r="I256" s="701">
        <f>D256+(F256*'Emission Factors'!$C$6)+(H256*'Emission Factors'!$C$7)</f>
        <v>0</v>
      </c>
    </row>
    <row r="257" spans="1:9">
      <c r="A257" s="963"/>
      <c r="B257" s="915"/>
      <c r="C257" s="915"/>
      <c r="D257" s="764">
        <f t="shared" si="32"/>
        <v>0</v>
      </c>
      <c r="E257" s="768"/>
      <c r="F257" s="764">
        <f t="shared" si="31"/>
        <v>0</v>
      </c>
      <c r="G257" s="768"/>
      <c r="H257" s="764">
        <f t="shared" si="33"/>
        <v>0</v>
      </c>
      <c r="I257" s="701">
        <f>D257+(F257*'Emission Factors'!$C$6)+(H257*'Emission Factors'!$C$7)</f>
        <v>0</v>
      </c>
    </row>
    <row r="258" spans="1:9">
      <c r="A258" s="963"/>
      <c r="B258" s="915"/>
      <c r="C258" s="915"/>
      <c r="D258" s="764">
        <f t="shared" si="32"/>
        <v>0</v>
      </c>
      <c r="E258" s="768"/>
      <c r="F258" s="764">
        <f t="shared" si="31"/>
        <v>0</v>
      </c>
      <c r="G258" s="768"/>
      <c r="H258" s="764">
        <f t="shared" si="33"/>
        <v>0</v>
      </c>
      <c r="I258" s="701">
        <f>D258+(F258*'Emission Factors'!$C$6)+(H258*'Emission Factors'!$C$7)</f>
        <v>0</v>
      </c>
    </row>
    <row r="259" spans="1:9">
      <c r="A259" s="963"/>
      <c r="B259" s="915"/>
      <c r="C259" s="915"/>
      <c r="D259" s="764">
        <f t="shared" si="32"/>
        <v>0</v>
      </c>
      <c r="E259" s="768"/>
      <c r="F259" s="764">
        <f t="shared" si="31"/>
        <v>0</v>
      </c>
      <c r="G259" s="768"/>
      <c r="H259" s="764">
        <f t="shared" si="33"/>
        <v>0</v>
      </c>
      <c r="I259" s="701">
        <f>D259+(F259*'Emission Factors'!$C$6)+(H259*'Emission Factors'!$C$7)</f>
        <v>0</v>
      </c>
    </row>
    <row r="260" spans="1:9" ht="16.5" thickBot="1">
      <c r="A260" s="963"/>
      <c r="B260" s="915"/>
      <c r="C260" s="915"/>
      <c r="D260" s="764">
        <f t="shared" si="32"/>
        <v>0</v>
      </c>
      <c r="E260" s="768"/>
      <c r="F260" s="764">
        <f t="shared" si="31"/>
        <v>0</v>
      </c>
      <c r="G260" s="768"/>
      <c r="H260" s="764">
        <f t="shared" si="33"/>
        <v>0</v>
      </c>
      <c r="I260" s="701">
        <f>D260+(F260*'Emission Factors'!$C$6)+(H260*'Emission Factors'!$C$7)</f>
        <v>0</v>
      </c>
    </row>
    <row r="261" spans="1:9" ht="16.5" thickBot="1">
      <c r="A261" s="694"/>
      <c r="C261" s="694"/>
      <c r="D261" s="711"/>
      <c r="H261" s="760" t="s">
        <v>434</v>
      </c>
      <c r="I261" s="762">
        <f>SUM(I251:I260)</f>
        <v>0</v>
      </c>
    </row>
    <row r="564" spans="1:3" ht="45" customHeight="1"/>
    <row r="565" spans="1:3">
      <c r="A565" s="694"/>
      <c r="C565" s="694"/>
    </row>
  </sheetData>
  <mergeCells count="40">
    <mergeCell ref="D170:E170"/>
    <mergeCell ref="A234:K234"/>
    <mergeCell ref="A248:N248"/>
    <mergeCell ref="A171:K171"/>
    <mergeCell ref="A186:N186"/>
    <mergeCell ref="D187:E187"/>
    <mergeCell ref="D202:E202"/>
    <mergeCell ref="A203:K203"/>
    <mergeCell ref="E249:F249"/>
    <mergeCell ref="A46:K46"/>
    <mergeCell ref="A62:K62"/>
    <mergeCell ref="A107:S107"/>
    <mergeCell ref="A109:B109"/>
    <mergeCell ref="A123:N123"/>
    <mergeCell ref="D124:E124"/>
    <mergeCell ref="A125:J125"/>
    <mergeCell ref="A188:J188"/>
    <mergeCell ref="D217:E217"/>
    <mergeCell ref="A218:K218"/>
    <mergeCell ref="D233:E233"/>
    <mergeCell ref="D139:E139"/>
    <mergeCell ref="A140:K140"/>
    <mergeCell ref="D154:E154"/>
    <mergeCell ref="A155:K155"/>
    <mergeCell ref="B1:E1"/>
    <mergeCell ref="F1:K1"/>
    <mergeCell ref="A79:K79"/>
    <mergeCell ref="A93:K93"/>
    <mergeCell ref="A31:K31"/>
    <mergeCell ref="D15:E15"/>
    <mergeCell ref="D30:E30"/>
    <mergeCell ref="D45:E45"/>
    <mergeCell ref="D61:E61"/>
    <mergeCell ref="D78:E78"/>
    <mergeCell ref="D92:E92"/>
    <mergeCell ref="A16:J16"/>
    <mergeCell ref="A76:N76"/>
    <mergeCell ref="A14:N14"/>
    <mergeCell ref="D4:H5"/>
    <mergeCell ref="D6:H7"/>
  </mergeCells>
  <phoneticPr fontId="38" type="noConversion"/>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9999"/>
  </sheetPr>
  <dimension ref="A1:V549"/>
  <sheetViews>
    <sheetView topLeftCell="A7" zoomScale="85" zoomScaleNormal="85" workbookViewId="0">
      <selection activeCell="P35" sqref="P35"/>
    </sheetView>
  </sheetViews>
  <sheetFormatPr baseColWidth="10" defaultColWidth="8.85546875" defaultRowHeight="15"/>
  <cols>
    <col min="1" max="1" width="39.140625" style="765" customWidth="1"/>
    <col min="2" max="2" width="16.5703125" style="765" bestFit="1" customWidth="1"/>
    <col min="3" max="3" width="16.5703125" style="1086" bestFit="1" customWidth="1"/>
    <col min="4" max="4" width="21" style="1087" bestFit="1" customWidth="1"/>
    <col min="5" max="5" width="16.42578125" style="765" bestFit="1" customWidth="1"/>
    <col min="6" max="6" width="16.5703125" style="765" bestFit="1" customWidth="1"/>
    <col min="7" max="7" width="18" style="765" customWidth="1"/>
    <col min="8" max="8" width="26.7109375" style="765" bestFit="1" customWidth="1"/>
    <col min="9" max="9" width="14.5703125" style="765" bestFit="1" customWidth="1"/>
    <col min="10" max="10" width="22.140625" style="765" customWidth="1"/>
    <col min="11" max="11" width="22.42578125" style="765" bestFit="1" customWidth="1"/>
    <col min="12" max="12" width="24.42578125" style="765" bestFit="1" customWidth="1"/>
    <col min="13" max="13" width="16.140625" style="765" customWidth="1"/>
    <col min="14" max="14" width="19.5703125" style="765" bestFit="1" customWidth="1"/>
    <col min="15" max="15" width="24.42578125" style="765" customWidth="1"/>
    <col min="16" max="16" width="30.140625" style="765" bestFit="1" customWidth="1"/>
    <col min="17" max="17" width="15.42578125" style="765" customWidth="1"/>
    <col min="18" max="18" width="16.42578125" style="765" bestFit="1" customWidth="1"/>
    <col min="19" max="19" width="27.140625" style="765" bestFit="1" customWidth="1"/>
    <col min="20" max="20" width="30.140625" style="765" bestFit="1" customWidth="1"/>
    <col min="21" max="21" width="10.7109375" style="765" customWidth="1"/>
    <col min="22" max="22" width="18.140625" style="831" customWidth="1"/>
    <col min="23" max="23" width="15.140625" style="765" customWidth="1"/>
    <col min="24" max="24" width="12.7109375" style="765" customWidth="1"/>
    <col min="25" max="25" width="12.42578125" style="765" customWidth="1"/>
    <col min="26" max="26" width="14.140625" style="765" customWidth="1"/>
    <col min="27" max="16384" width="8.85546875" style="765"/>
  </cols>
  <sheetData>
    <row r="1" spans="1:22" ht="99" customHeight="1" thickBot="1">
      <c r="A1" s="730" t="s">
        <v>1047</v>
      </c>
      <c r="B1" s="2110" t="s">
        <v>1048</v>
      </c>
      <c r="C1" s="2111"/>
      <c r="D1" s="2111"/>
      <c r="E1" s="2111"/>
      <c r="F1" s="2111"/>
      <c r="G1" s="2112"/>
      <c r="K1" s="2001" t="s">
        <v>414</v>
      </c>
      <c r="L1" s="2002"/>
      <c r="M1" s="2002"/>
      <c r="N1" s="2002"/>
      <c r="O1" s="2002"/>
      <c r="P1" s="2003"/>
    </row>
    <row r="2" spans="1:22">
      <c r="B2" s="839"/>
      <c r="I2" s="1088"/>
      <c r="J2" s="1089"/>
      <c r="K2" s="906" t="s">
        <v>415</v>
      </c>
      <c r="L2" s="907"/>
      <c r="M2" s="908" t="s">
        <v>416</v>
      </c>
      <c r="N2" s="909"/>
      <c r="O2" s="908" t="s">
        <v>417</v>
      </c>
      <c r="P2" s="910"/>
    </row>
    <row r="3" spans="1:22" ht="56.25">
      <c r="B3" s="979" t="s">
        <v>1049</v>
      </c>
      <c r="V3" s="765"/>
    </row>
    <row r="4" spans="1:22" ht="18.75">
      <c r="A4" s="979" t="s">
        <v>1050</v>
      </c>
      <c r="B4" s="886">
        <f>SUM(E12:E27)</f>
        <v>0</v>
      </c>
      <c r="E4" s="1090"/>
      <c r="V4" s="765"/>
    </row>
    <row r="5" spans="1:22" ht="37.5">
      <c r="A5" s="979" t="s">
        <v>1051</v>
      </c>
      <c r="B5" s="1091">
        <f>D71</f>
        <v>0</v>
      </c>
      <c r="V5" s="765"/>
    </row>
    <row r="6" spans="1:22" ht="37.5">
      <c r="A6" s="979" t="s">
        <v>1052</v>
      </c>
      <c r="B6" s="1091">
        <f>F71</f>
        <v>0</v>
      </c>
      <c r="V6" s="765"/>
    </row>
    <row r="7" spans="1:22" ht="37.5">
      <c r="A7" s="979" t="s">
        <v>1053</v>
      </c>
      <c r="B7" s="1091">
        <f>SUM(I71,L71,O71,R71)</f>
        <v>0</v>
      </c>
      <c r="C7" s="1087"/>
      <c r="Q7" s="835"/>
      <c r="V7" s="765"/>
    </row>
    <row r="8" spans="1:22" ht="18.75">
      <c r="A8" s="1092"/>
      <c r="B8" s="889"/>
      <c r="C8" s="1087"/>
      <c r="E8" s="1090"/>
      <c r="V8" s="765"/>
    </row>
    <row r="9" spans="1:22" s="740" customFormat="1" ht="36">
      <c r="A9" s="1993" t="s">
        <v>1050</v>
      </c>
      <c r="B9" s="2046"/>
      <c r="C9" s="2046"/>
      <c r="D9" s="2046"/>
      <c r="E9" s="2046"/>
      <c r="F9" s="2046"/>
      <c r="G9" s="2046"/>
      <c r="H9" s="2046"/>
      <c r="I9" s="2046"/>
      <c r="J9" s="2046"/>
      <c r="K9" s="2046"/>
      <c r="L9" s="2046"/>
      <c r="M9" s="2046"/>
      <c r="N9" s="2046"/>
      <c r="O9" s="2046"/>
      <c r="P9" s="743"/>
      <c r="Q9" s="743"/>
    </row>
    <row r="10" spans="1:22" s="743" customFormat="1" ht="23.45" customHeight="1" thickBot="1">
      <c r="A10" s="694"/>
      <c r="B10" s="694"/>
      <c r="C10" s="694"/>
      <c r="D10" s="2014" t="s">
        <v>427</v>
      </c>
      <c r="E10" s="2015"/>
      <c r="G10" s="694"/>
      <c r="H10" s="694"/>
      <c r="I10" s="694"/>
      <c r="J10" s="694"/>
      <c r="K10" s="694"/>
      <c r="L10" s="694"/>
      <c r="M10" s="694"/>
      <c r="N10" s="694"/>
      <c r="O10" s="694"/>
      <c r="P10" s="694"/>
      <c r="Q10" s="694"/>
    </row>
    <row r="11" spans="1:22" s="831" customFormat="1" ht="48" customHeight="1">
      <c r="A11" s="827" t="s">
        <v>428</v>
      </c>
      <c r="B11" s="828" t="s">
        <v>560</v>
      </c>
      <c r="C11" s="828" t="s">
        <v>561</v>
      </c>
      <c r="D11" s="829" t="s">
        <v>562</v>
      </c>
      <c r="E11" s="830" t="s">
        <v>563</v>
      </c>
      <c r="G11" s="832"/>
      <c r="H11" s="832"/>
      <c r="I11" s="832"/>
      <c r="J11" s="832"/>
    </row>
    <row r="12" spans="1:22" ht="15.75">
      <c r="A12" s="848"/>
      <c r="B12" s="770"/>
      <c r="C12" s="834">
        <f>B12*0.001</f>
        <v>0</v>
      </c>
      <c r="D12" s="770">
        <v>3.7109999999999999</v>
      </c>
      <c r="E12" s="1579">
        <f>(C12*D12*0.1949)*('Emission Factors'!D142/1000)*66/100</f>
        <v>0</v>
      </c>
      <c r="G12" s="835"/>
      <c r="H12" s="835"/>
      <c r="I12" s="835"/>
      <c r="J12" s="835"/>
      <c r="V12" s="765"/>
    </row>
    <row r="13" spans="1:22" ht="15.75">
      <c r="A13" s="833"/>
      <c r="B13" s="770"/>
      <c r="C13" s="834">
        <f t="shared" ref="C13:C27" si="0">B13*0.001</f>
        <v>0</v>
      </c>
      <c r="D13" s="770">
        <v>3.7109999999999999</v>
      </c>
      <c r="E13" s="1579">
        <f>(C13*D13*0.1949)*('Emission Factors'!D143/1000)*66/100</f>
        <v>0</v>
      </c>
      <c r="V13" s="765"/>
    </row>
    <row r="14" spans="1:22" ht="15.75">
      <c r="A14" s="833"/>
      <c r="B14" s="770"/>
      <c r="C14" s="834">
        <f t="shared" si="0"/>
        <v>0</v>
      </c>
      <c r="D14" s="770">
        <v>3.7109999999999999</v>
      </c>
      <c r="E14" s="1579">
        <f>(C14*D14*0.1949)*('Emission Factors'!D144/1000)*66/100</f>
        <v>0</v>
      </c>
      <c r="V14" s="765"/>
    </row>
    <row r="15" spans="1:22" ht="15.75">
      <c r="A15" s="833"/>
      <c r="B15" s="770"/>
      <c r="C15" s="834">
        <f t="shared" si="0"/>
        <v>0</v>
      </c>
      <c r="D15" s="770">
        <v>3.7109999999999999</v>
      </c>
      <c r="E15" s="1579">
        <f>(C15*D15*0.1949)*('Emission Factors'!D145/1000)*66/100</f>
        <v>0</v>
      </c>
      <c r="V15" s="765"/>
    </row>
    <row r="16" spans="1:22" ht="15.75">
      <c r="A16" s="833"/>
      <c r="B16" s="770"/>
      <c r="C16" s="834">
        <f t="shared" si="0"/>
        <v>0</v>
      </c>
      <c r="D16" s="770">
        <v>3.7109999999999999</v>
      </c>
      <c r="E16" s="1579">
        <f>(C16*D16*0.1949)*('Emission Factors'!D146/1000)*66/100</f>
        <v>0</v>
      </c>
      <c r="V16" s="765"/>
    </row>
    <row r="17" spans="1:15" s="765" customFormat="1" ht="15.75">
      <c r="A17" s="836"/>
      <c r="B17" s="770"/>
      <c r="C17" s="834">
        <f t="shared" si="0"/>
        <v>0</v>
      </c>
      <c r="D17" s="770">
        <v>3.7109999999999999</v>
      </c>
      <c r="E17" s="1579">
        <f>(C17*D17*0.1949)*('Emission Factors'!D147/1000)*66/100</f>
        <v>0</v>
      </c>
    </row>
    <row r="18" spans="1:15" s="765" customFormat="1" ht="15.75">
      <c r="A18" s="837"/>
      <c r="B18" s="770"/>
      <c r="C18" s="834">
        <f t="shared" si="0"/>
        <v>0</v>
      </c>
      <c r="D18" s="770">
        <v>3.7109999999999999</v>
      </c>
      <c r="E18" s="1579">
        <f>(C18*D18*0.1949)*('Emission Factors'!D148/1000)*66/100</f>
        <v>0</v>
      </c>
    </row>
    <row r="19" spans="1:15" s="765" customFormat="1" ht="15.75">
      <c r="A19" s="836"/>
      <c r="B19" s="770"/>
      <c r="C19" s="834">
        <f t="shared" si="0"/>
        <v>0</v>
      </c>
      <c r="D19" s="770">
        <v>3.7109999999999999</v>
      </c>
      <c r="E19" s="1579">
        <f>(C19*D19*0.1949)*('Emission Factors'!D149/1000)*66/100</f>
        <v>0</v>
      </c>
    </row>
    <row r="20" spans="1:15" s="765" customFormat="1" ht="15.75">
      <c r="A20" s="836"/>
      <c r="B20" s="770"/>
      <c r="C20" s="834">
        <f t="shared" si="0"/>
        <v>0</v>
      </c>
      <c r="D20" s="770">
        <v>3.7109999999999999</v>
      </c>
      <c r="E20" s="1579">
        <f>(C20*D20*0.1949)*('Emission Factors'!D150/1000)*66/100</f>
        <v>0</v>
      </c>
    </row>
    <row r="21" spans="1:15" s="765" customFormat="1" ht="15.75">
      <c r="A21" s="836"/>
      <c r="B21" s="770"/>
      <c r="C21" s="834">
        <f t="shared" si="0"/>
        <v>0</v>
      </c>
      <c r="D21" s="770">
        <v>3.7109999999999999</v>
      </c>
      <c r="E21" s="1579">
        <f>(C21*D21*0.1949)*('Emission Factors'!D151/1000)*66/100</f>
        <v>0</v>
      </c>
    </row>
    <row r="22" spans="1:15" s="765" customFormat="1" ht="15.75">
      <c r="A22" s="836"/>
      <c r="B22" s="770"/>
      <c r="C22" s="834">
        <f t="shared" si="0"/>
        <v>0</v>
      </c>
      <c r="D22" s="770">
        <v>3.7109999999999999</v>
      </c>
      <c r="E22" s="1579">
        <f>(C22*D22*0.1949)*('Emission Factors'!D152/1000)*66/100</f>
        <v>0</v>
      </c>
    </row>
    <row r="23" spans="1:15" s="765" customFormat="1" ht="15.75">
      <c r="A23" s="836"/>
      <c r="B23" s="770"/>
      <c r="C23" s="834">
        <f t="shared" si="0"/>
        <v>0</v>
      </c>
      <c r="D23" s="770">
        <v>3.7109999999999999</v>
      </c>
      <c r="E23" s="1579">
        <f>(C23*D23*0.1949)*('Emission Factors'!D153/1000)*66/100</f>
        <v>0</v>
      </c>
    </row>
    <row r="24" spans="1:15" s="765" customFormat="1" ht="15.75">
      <c r="A24" s="836"/>
      <c r="B24" s="770"/>
      <c r="C24" s="834">
        <f t="shared" si="0"/>
        <v>0</v>
      </c>
      <c r="D24" s="770">
        <v>3.7109999999999999</v>
      </c>
      <c r="E24" s="1579">
        <f>(C24*D24*0.1949)*('Emission Factors'!D154/1000)*66/100</f>
        <v>0</v>
      </c>
    </row>
    <row r="25" spans="1:15" s="765" customFormat="1" ht="15.75">
      <c r="A25" s="836"/>
      <c r="B25" s="770"/>
      <c r="C25" s="834">
        <f t="shared" si="0"/>
        <v>0</v>
      </c>
      <c r="D25" s="770">
        <v>3.7109999999999999</v>
      </c>
      <c r="E25" s="1579">
        <f>(C25*D25*0.1949)*('Emission Factors'!D155/1000)*66/100</f>
        <v>0</v>
      </c>
    </row>
    <row r="26" spans="1:15" s="765" customFormat="1" ht="15.75">
      <c r="A26" s="836"/>
      <c r="B26" s="770"/>
      <c r="C26" s="834">
        <f t="shared" si="0"/>
        <v>0</v>
      </c>
      <c r="D26" s="770">
        <v>3.7109999999999999</v>
      </c>
      <c r="E26" s="1579">
        <f>(C26*D26*0.1949)*('Emission Factors'!D156/1000)*66/100</f>
        <v>0</v>
      </c>
    </row>
    <row r="27" spans="1:15" s="765" customFormat="1" ht="15.75">
      <c r="A27" s="838"/>
      <c r="B27" s="770"/>
      <c r="C27" s="834">
        <f t="shared" si="0"/>
        <v>0</v>
      </c>
      <c r="D27" s="770">
        <v>3.7109999999999999</v>
      </c>
      <c r="E27" s="1579">
        <f>(C27*D27*0.1949)*('Emission Factors'!D157/1000)*66/100</f>
        <v>0</v>
      </c>
    </row>
    <row r="28" spans="1:15" s="765" customFormat="1">
      <c r="A28" s="839" t="s">
        <v>566</v>
      </c>
    </row>
    <row r="29" spans="1:15" s="765" customFormat="1">
      <c r="A29" s="839"/>
    </row>
    <row r="30" spans="1:15" s="765" customFormat="1">
      <c r="A30" s="839"/>
    </row>
    <row r="31" spans="1:15" s="765" customFormat="1" ht="36">
      <c r="A31" s="1993" t="s">
        <v>129</v>
      </c>
      <c r="B31" s="2046"/>
      <c r="C31" s="2046"/>
      <c r="D31" s="2046"/>
      <c r="E31" s="2046"/>
      <c r="F31" s="2046"/>
      <c r="G31" s="2046"/>
      <c r="H31" s="2046"/>
      <c r="I31" s="2046"/>
      <c r="J31" s="2046"/>
      <c r="K31" s="2046"/>
      <c r="L31" s="2046"/>
      <c r="M31" s="2046"/>
      <c r="N31" s="2046"/>
      <c r="O31" s="2046"/>
    </row>
    <row r="32" spans="1:15" s="743" customFormat="1" ht="26.25" customHeight="1" thickBot="1">
      <c r="A32" s="724"/>
      <c r="C32" s="840"/>
      <c r="D32" s="2012" t="s">
        <v>427</v>
      </c>
      <c r="E32" s="2013"/>
    </row>
    <row r="33" spans="1:18" s="765" customFormat="1" ht="53.1" customHeight="1">
      <c r="B33" s="2041" t="s">
        <v>555</v>
      </c>
      <c r="C33" s="2042"/>
      <c r="D33" s="2043"/>
      <c r="E33" s="2039" t="s">
        <v>556</v>
      </c>
      <c r="F33" s="2040"/>
      <c r="G33" s="2041" t="s">
        <v>569</v>
      </c>
      <c r="H33" s="2042"/>
      <c r="I33" s="2043"/>
      <c r="J33" s="2039" t="s">
        <v>570</v>
      </c>
      <c r="K33" s="2044"/>
      <c r="L33" s="2040"/>
      <c r="M33" s="2041" t="s">
        <v>571</v>
      </c>
      <c r="N33" s="2042"/>
      <c r="O33" s="2043"/>
      <c r="P33" s="2113" t="s">
        <v>1054</v>
      </c>
      <c r="Q33" s="2114"/>
      <c r="R33" s="2115"/>
    </row>
    <row r="34" spans="1:18" s="765" customFormat="1" ht="112.5">
      <c r="A34" s="841" t="s">
        <v>428</v>
      </c>
      <c r="B34" s="842" t="s">
        <v>572</v>
      </c>
      <c r="C34" s="692" t="s">
        <v>573</v>
      </c>
      <c r="D34" s="843" t="s">
        <v>574</v>
      </c>
      <c r="E34" s="692" t="s">
        <v>575</v>
      </c>
      <c r="F34" s="844" t="s">
        <v>576</v>
      </c>
      <c r="G34" s="845" t="s">
        <v>577</v>
      </c>
      <c r="H34" s="846" t="s">
        <v>578</v>
      </c>
      <c r="I34" s="847" t="s">
        <v>579</v>
      </c>
      <c r="J34" s="845" t="s">
        <v>577</v>
      </c>
      <c r="K34" s="846" t="s">
        <v>578</v>
      </c>
      <c r="L34" s="847" t="s">
        <v>580</v>
      </c>
      <c r="M34" s="845" t="s">
        <v>577</v>
      </c>
      <c r="N34" s="846" t="s">
        <v>578</v>
      </c>
      <c r="O34" s="847" t="s">
        <v>581</v>
      </c>
      <c r="P34" s="1580" t="s">
        <v>577</v>
      </c>
      <c r="Q34" s="1581" t="s">
        <v>578</v>
      </c>
      <c r="R34" s="1582" t="s">
        <v>2405</v>
      </c>
    </row>
    <row r="35" spans="1:18" s="765" customFormat="1">
      <c r="A35" s="848"/>
      <c r="B35" s="849"/>
      <c r="C35" s="850">
        <f>B35/1000</f>
        <v>0</v>
      </c>
      <c r="D35" s="851">
        <f>C35*1.10231*'Emission Factors'!$B$671</f>
        <v>0</v>
      </c>
      <c r="E35" s="849"/>
      <c r="F35" s="852">
        <f>E35*'Emission Factors'!$B$663/1000</f>
        <v>0</v>
      </c>
      <c r="G35" s="849"/>
      <c r="H35" s="853">
        <f>G35*0.001</f>
        <v>0</v>
      </c>
      <c r="I35" s="852">
        <f>H35*'Emission Factors'!$B$639</f>
        <v>0</v>
      </c>
      <c r="J35" s="849"/>
      <c r="K35" s="853">
        <f>J35*0.001</f>
        <v>0</v>
      </c>
      <c r="L35" s="852">
        <f>K35*'Emission Factors'!$B$641</f>
        <v>0</v>
      </c>
      <c r="M35" s="849"/>
      <c r="N35" s="853">
        <f>M35*0.001</f>
        <v>0</v>
      </c>
      <c r="O35" s="852">
        <f>N35*'Emission Factors'!$B$642</f>
        <v>0</v>
      </c>
      <c r="P35" s="1583"/>
      <c r="Q35" s="1584">
        <f>P35*0.001</f>
        <v>0</v>
      </c>
      <c r="R35" s="1585">
        <f>Q35*'Emission Factors'!$B$655</f>
        <v>0</v>
      </c>
    </row>
    <row r="36" spans="1:18" s="765" customFormat="1">
      <c r="A36" s="848"/>
      <c r="B36" s="849"/>
      <c r="C36" s="850">
        <f t="shared" ref="C36:C70" si="1">B36/1000</f>
        <v>0</v>
      </c>
      <c r="D36" s="851">
        <f>C36*1.10231*'Emission Factors'!$B$671</f>
        <v>0</v>
      </c>
      <c r="E36" s="849"/>
      <c r="F36" s="852">
        <f>E36*'Emission Factors'!$B$663/1000</f>
        <v>0</v>
      </c>
      <c r="G36" s="849"/>
      <c r="H36" s="853">
        <f t="shared" ref="H36:H70" si="2">G36*0.001</f>
        <v>0</v>
      </c>
      <c r="I36" s="852">
        <f>H36*'Emission Factors'!$B$639</f>
        <v>0</v>
      </c>
      <c r="J36" s="849"/>
      <c r="K36" s="853">
        <f t="shared" ref="K36:K70" si="3">J36*0.001</f>
        <v>0</v>
      </c>
      <c r="L36" s="852">
        <f>K36*'Emission Factors'!$B$641</f>
        <v>0</v>
      </c>
      <c r="M36" s="849"/>
      <c r="N36" s="853">
        <f t="shared" ref="N36:N70" si="4">M36*0.001</f>
        <v>0</v>
      </c>
      <c r="O36" s="852">
        <f>N36*'Emission Factors'!$B$642</f>
        <v>0</v>
      </c>
      <c r="P36" s="1583"/>
      <c r="Q36" s="1584">
        <f t="shared" ref="Q36:Q70" si="5">P36*0.001</f>
        <v>0</v>
      </c>
      <c r="R36" s="1585">
        <f>Q36*'Emission Factors'!$B$642</f>
        <v>0</v>
      </c>
    </row>
    <row r="37" spans="1:18" s="765" customFormat="1">
      <c r="A37" s="848"/>
      <c r="B37" s="849"/>
      <c r="C37" s="850">
        <f t="shared" si="1"/>
        <v>0</v>
      </c>
      <c r="D37" s="851">
        <f>C37*1.10231*'Emission Factors'!$B$671</f>
        <v>0</v>
      </c>
      <c r="E37" s="849"/>
      <c r="F37" s="852">
        <f>E37*'Emission Factors'!$B$663/1000</f>
        <v>0</v>
      </c>
      <c r="G37" s="849"/>
      <c r="H37" s="853">
        <f t="shared" si="2"/>
        <v>0</v>
      </c>
      <c r="I37" s="852">
        <f>H37*'Emission Factors'!$B$639</f>
        <v>0</v>
      </c>
      <c r="J37" s="849"/>
      <c r="K37" s="853">
        <f t="shared" si="3"/>
        <v>0</v>
      </c>
      <c r="L37" s="852">
        <f>K37*'Emission Factors'!$B$641</f>
        <v>0</v>
      </c>
      <c r="M37" s="849"/>
      <c r="N37" s="853">
        <f t="shared" si="4"/>
        <v>0</v>
      </c>
      <c r="O37" s="852">
        <f>N37*'Emission Factors'!$B$642</f>
        <v>0</v>
      </c>
      <c r="P37" s="1583"/>
      <c r="Q37" s="1584">
        <f t="shared" si="5"/>
        <v>0</v>
      </c>
      <c r="R37" s="1585">
        <f>Q37*'Emission Factors'!$B$642</f>
        <v>0</v>
      </c>
    </row>
    <row r="38" spans="1:18" s="765" customFormat="1">
      <c r="A38" s="848"/>
      <c r="B38" s="849"/>
      <c r="C38" s="850">
        <f t="shared" si="1"/>
        <v>0</v>
      </c>
      <c r="D38" s="851">
        <f>C38*1.10231*'Emission Factors'!$B$671</f>
        <v>0</v>
      </c>
      <c r="E38" s="849"/>
      <c r="F38" s="852">
        <f>E38*'Emission Factors'!$B$663/1000</f>
        <v>0</v>
      </c>
      <c r="G38" s="849"/>
      <c r="H38" s="853">
        <f t="shared" si="2"/>
        <v>0</v>
      </c>
      <c r="I38" s="852">
        <f>H38*'Emission Factors'!$B$639</f>
        <v>0</v>
      </c>
      <c r="J38" s="849"/>
      <c r="K38" s="853">
        <f t="shared" si="3"/>
        <v>0</v>
      </c>
      <c r="L38" s="852">
        <f>K38*'Emission Factors'!$B$641</f>
        <v>0</v>
      </c>
      <c r="M38" s="849"/>
      <c r="N38" s="853">
        <f t="shared" si="4"/>
        <v>0</v>
      </c>
      <c r="O38" s="852">
        <f>N38*'Emission Factors'!$B$642</f>
        <v>0</v>
      </c>
      <c r="P38" s="1583"/>
      <c r="Q38" s="1584">
        <f t="shared" si="5"/>
        <v>0</v>
      </c>
      <c r="R38" s="1585">
        <f>Q38*'Emission Factors'!$B$642</f>
        <v>0</v>
      </c>
    </row>
    <row r="39" spans="1:18" s="765" customFormat="1">
      <c r="A39" s="848"/>
      <c r="B39" s="849"/>
      <c r="C39" s="850">
        <f t="shared" si="1"/>
        <v>0</v>
      </c>
      <c r="D39" s="851">
        <f>C39*1.10231*'Emission Factors'!$B$671</f>
        <v>0</v>
      </c>
      <c r="E39" s="849"/>
      <c r="F39" s="852">
        <f>E39*'Emission Factors'!$B$663/1000</f>
        <v>0</v>
      </c>
      <c r="G39" s="849"/>
      <c r="H39" s="853">
        <f t="shared" si="2"/>
        <v>0</v>
      </c>
      <c r="I39" s="852">
        <f>H39*'Emission Factors'!$B$639</f>
        <v>0</v>
      </c>
      <c r="J39" s="849"/>
      <c r="K39" s="853">
        <f t="shared" si="3"/>
        <v>0</v>
      </c>
      <c r="L39" s="852">
        <f>K39*'Emission Factors'!$B$641</f>
        <v>0</v>
      </c>
      <c r="M39" s="849"/>
      <c r="N39" s="853">
        <f t="shared" si="4"/>
        <v>0</v>
      </c>
      <c r="O39" s="852">
        <f>N39*'Emission Factors'!$B$642</f>
        <v>0</v>
      </c>
      <c r="P39" s="1583"/>
      <c r="Q39" s="1584">
        <f t="shared" si="5"/>
        <v>0</v>
      </c>
      <c r="R39" s="1585">
        <f>Q39*'Emission Factors'!$B$642</f>
        <v>0</v>
      </c>
    </row>
    <row r="40" spans="1:18" s="765" customFormat="1">
      <c r="A40" s="848"/>
      <c r="B40" s="849"/>
      <c r="C40" s="850">
        <f t="shared" si="1"/>
        <v>0</v>
      </c>
      <c r="D40" s="851">
        <f>C40*1.10231*'Emission Factors'!$B$671</f>
        <v>0</v>
      </c>
      <c r="E40" s="849"/>
      <c r="F40" s="852">
        <f>E40*'Emission Factors'!$B$663/1000</f>
        <v>0</v>
      </c>
      <c r="G40" s="849"/>
      <c r="H40" s="853">
        <f t="shared" si="2"/>
        <v>0</v>
      </c>
      <c r="I40" s="852">
        <f>H40*'Emission Factors'!$B$639</f>
        <v>0</v>
      </c>
      <c r="J40" s="849"/>
      <c r="K40" s="853">
        <f t="shared" si="3"/>
        <v>0</v>
      </c>
      <c r="L40" s="852">
        <f>K40*'Emission Factors'!$B$641</f>
        <v>0</v>
      </c>
      <c r="M40" s="849"/>
      <c r="N40" s="853">
        <f t="shared" si="4"/>
        <v>0</v>
      </c>
      <c r="O40" s="852">
        <f>N40*'Emission Factors'!$B$642</f>
        <v>0</v>
      </c>
      <c r="P40" s="1583"/>
      <c r="Q40" s="1584">
        <f t="shared" si="5"/>
        <v>0</v>
      </c>
      <c r="R40" s="1585">
        <f>Q40*'Emission Factors'!$B$642</f>
        <v>0</v>
      </c>
    </row>
    <row r="41" spans="1:18" s="765" customFormat="1">
      <c r="A41" s="848"/>
      <c r="B41" s="849"/>
      <c r="C41" s="850">
        <f t="shared" si="1"/>
        <v>0</v>
      </c>
      <c r="D41" s="851">
        <f>C41*1.10231*'Emission Factors'!$B$671</f>
        <v>0</v>
      </c>
      <c r="E41" s="849"/>
      <c r="F41" s="852">
        <f>E41*'Emission Factors'!$B$663/1000</f>
        <v>0</v>
      </c>
      <c r="G41" s="849"/>
      <c r="H41" s="853">
        <f t="shared" si="2"/>
        <v>0</v>
      </c>
      <c r="I41" s="852">
        <f>H41*'Emission Factors'!$B$639</f>
        <v>0</v>
      </c>
      <c r="J41" s="849"/>
      <c r="K41" s="853">
        <f t="shared" si="3"/>
        <v>0</v>
      </c>
      <c r="L41" s="852">
        <f>K41*'Emission Factors'!$B$641</f>
        <v>0</v>
      </c>
      <c r="M41" s="849"/>
      <c r="N41" s="853">
        <f t="shared" si="4"/>
        <v>0</v>
      </c>
      <c r="O41" s="852">
        <f>N41*'Emission Factors'!$B$642</f>
        <v>0</v>
      </c>
      <c r="P41" s="1583"/>
      <c r="Q41" s="1584">
        <f t="shared" si="5"/>
        <v>0</v>
      </c>
      <c r="R41" s="1585">
        <f>Q41*'Emission Factors'!$B$642</f>
        <v>0</v>
      </c>
    </row>
    <row r="42" spans="1:18" s="765" customFormat="1">
      <c r="A42" s="848"/>
      <c r="B42" s="849"/>
      <c r="C42" s="850">
        <f t="shared" si="1"/>
        <v>0</v>
      </c>
      <c r="D42" s="851">
        <f>C42*1.10231*'Emission Factors'!$B$671</f>
        <v>0</v>
      </c>
      <c r="E42" s="849"/>
      <c r="F42" s="852">
        <f>E42*'Emission Factors'!$B$663/1000</f>
        <v>0</v>
      </c>
      <c r="G42" s="849"/>
      <c r="H42" s="853">
        <f t="shared" si="2"/>
        <v>0</v>
      </c>
      <c r="I42" s="852">
        <f>H42*'Emission Factors'!$B$639</f>
        <v>0</v>
      </c>
      <c r="J42" s="849"/>
      <c r="K42" s="853">
        <f t="shared" si="3"/>
        <v>0</v>
      </c>
      <c r="L42" s="852">
        <f>K42*'Emission Factors'!$B$641</f>
        <v>0</v>
      </c>
      <c r="M42" s="849"/>
      <c r="N42" s="853">
        <f t="shared" si="4"/>
        <v>0</v>
      </c>
      <c r="O42" s="852">
        <f>N42*'Emission Factors'!$B$642</f>
        <v>0</v>
      </c>
      <c r="P42" s="1583"/>
      <c r="Q42" s="1584">
        <f t="shared" si="5"/>
        <v>0</v>
      </c>
      <c r="R42" s="1585">
        <f>Q42*'Emission Factors'!$B$642</f>
        <v>0</v>
      </c>
    </row>
    <row r="43" spans="1:18" s="765" customFormat="1">
      <c r="A43" s="848"/>
      <c r="B43" s="849"/>
      <c r="C43" s="850">
        <f t="shared" si="1"/>
        <v>0</v>
      </c>
      <c r="D43" s="851">
        <f>C43*1.10231*'Emission Factors'!$B$671</f>
        <v>0</v>
      </c>
      <c r="E43" s="849"/>
      <c r="F43" s="852">
        <f>E43*'Emission Factors'!$B$663/1000</f>
        <v>0</v>
      </c>
      <c r="G43" s="849"/>
      <c r="H43" s="853">
        <f t="shared" si="2"/>
        <v>0</v>
      </c>
      <c r="I43" s="852">
        <f>H43*'Emission Factors'!$B$639</f>
        <v>0</v>
      </c>
      <c r="J43" s="849"/>
      <c r="K43" s="853">
        <f t="shared" si="3"/>
        <v>0</v>
      </c>
      <c r="L43" s="852">
        <f>K43*'Emission Factors'!$B$641</f>
        <v>0</v>
      </c>
      <c r="M43" s="849"/>
      <c r="N43" s="853">
        <f t="shared" si="4"/>
        <v>0</v>
      </c>
      <c r="O43" s="852">
        <f>N43*'Emission Factors'!$B$642</f>
        <v>0</v>
      </c>
      <c r="P43" s="1583"/>
      <c r="Q43" s="1584">
        <f t="shared" si="5"/>
        <v>0</v>
      </c>
      <c r="R43" s="1585">
        <f>Q43*'Emission Factors'!$B$642</f>
        <v>0</v>
      </c>
    </row>
    <row r="44" spans="1:18" s="765" customFormat="1">
      <c r="A44" s="848"/>
      <c r="B44" s="849"/>
      <c r="C44" s="850">
        <f t="shared" si="1"/>
        <v>0</v>
      </c>
      <c r="D44" s="851">
        <f>C44*1.10231*'Emission Factors'!$B$671</f>
        <v>0</v>
      </c>
      <c r="E44" s="849"/>
      <c r="F44" s="852">
        <f>E44*'Emission Factors'!$B$663/1000</f>
        <v>0</v>
      </c>
      <c r="G44" s="849"/>
      <c r="H44" s="853">
        <f t="shared" si="2"/>
        <v>0</v>
      </c>
      <c r="I44" s="852">
        <f>H44*'Emission Factors'!$B$639</f>
        <v>0</v>
      </c>
      <c r="J44" s="849"/>
      <c r="K44" s="853">
        <f t="shared" si="3"/>
        <v>0</v>
      </c>
      <c r="L44" s="852">
        <f>K44*'Emission Factors'!$B$641</f>
        <v>0</v>
      </c>
      <c r="M44" s="849"/>
      <c r="N44" s="853">
        <f t="shared" si="4"/>
        <v>0</v>
      </c>
      <c r="O44" s="852">
        <f>N44*'Emission Factors'!$B$642</f>
        <v>0</v>
      </c>
      <c r="P44" s="1583"/>
      <c r="Q44" s="1584">
        <f t="shared" si="5"/>
        <v>0</v>
      </c>
      <c r="R44" s="1585">
        <f>Q44*'Emission Factors'!$B$642</f>
        <v>0</v>
      </c>
    </row>
    <row r="45" spans="1:18" s="765" customFormat="1">
      <c r="A45" s="848"/>
      <c r="B45" s="849"/>
      <c r="C45" s="850">
        <f t="shared" si="1"/>
        <v>0</v>
      </c>
      <c r="D45" s="851">
        <f>C45*1.10231*'Emission Factors'!$B$671</f>
        <v>0</v>
      </c>
      <c r="E45" s="849"/>
      <c r="F45" s="852">
        <f>E45*'Emission Factors'!$B$663/1000</f>
        <v>0</v>
      </c>
      <c r="G45" s="849"/>
      <c r="H45" s="853">
        <f t="shared" si="2"/>
        <v>0</v>
      </c>
      <c r="I45" s="852">
        <f>H45*'Emission Factors'!$B$639</f>
        <v>0</v>
      </c>
      <c r="J45" s="849"/>
      <c r="K45" s="853">
        <f t="shared" si="3"/>
        <v>0</v>
      </c>
      <c r="L45" s="852">
        <f>K45*'Emission Factors'!$B$641</f>
        <v>0</v>
      </c>
      <c r="M45" s="849"/>
      <c r="N45" s="853">
        <f t="shared" si="4"/>
        <v>0</v>
      </c>
      <c r="O45" s="852">
        <f>N45*'Emission Factors'!$B$642</f>
        <v>0</v>
      </c>
      <c r="P45" s="1583"/>
      <c r="Q45" s="1584">
        <f t="shared" si="5"/>
        <v>0</v>
      </c>
      <c r="R45" s="1585">
        <f>Q45*'Emission Factors'!$B$642</f>
        <v>0</v>
      </c>
    </row>
    <row r="46" spans="1:18" s="765" customFormat="1">
      <c r="A46" s="848"/>
      <c r="B46" s="849"/>
      <c r="C46" s="850">
        <f t="shared" si="1"/>
        <v>0</v>
      </c>
      <c r="D46" s="851">
        <f>C46*1.10231*'Emission Factors'!$B$671</f>
        <v>0</v>
      </c>
      <c r="E46" s="849"/>
      <c r="F46" s="852">
        <f>E46*'Emission Factors'!$B$663/1000</f>
        <v>0</v>
      </c>
      <c r="G46" s="849"/>
      <c r="H46" s="853">
        <f t="shared" si="2"/>
        <v>0</v>
      </c>
      <c r="I46" s="852">
        <f>H46*'Emission Factors'!$B$639</f>
        <v>0</v>
      </c>
      <c r="J46" s="849"/>
      <c r="K46" s="853">
        <f t="shared" si="3"/>
        <v>0</v>
      </c>
      <c r="L46" s="852">
        <f>K46*'Emission Factors'!$B$641</f>
        <v>0</v>
      </c>
      <c r="M46" s="849"/>
      <c r="N46" s="853">
        <f t="shared" si="4"/>
        <v>0</v>
      </c>
      <c r="O46" s="852">
        <f>N46*'Emission Factors'!$B$642</f>
        <v>0</v>
      </c>
      <c r="P46" s="1583"/>
      <c r="Q46" s="1584">
        <f t="shared" si="5"/>
        <v>0</v>
      </c>
      <c r="R46" s="1585">
        <f>Q46*'Emission Factors'!$B$642</f>
        <v>0</v>
      </c>
    </row>
    <row r="47" spans="1:18" s="765" customFormat="1">
      <c r="A47" s="848"/>
      <c r="B47" s="849"/>
      <c r="C47" s="850">
        <f t="shared" si="1"/>
        <v>0</v>
      </c>
      <c r="D47" s="851">
        <f>C47*1.10231*'Emission Factors'!$B$671</f>
        <v>0</v>
      </c>
      <c r="E47" s="849"/>
      <c r="F47" s="852">
        <f>E47*'Emission Factors'!$B$663/1000</f>
        <v>0</v>
      </c>
      <c r="G47" s="849"/>
      <c r="H47" s="853">
        <f t="shared" si="2"/>
        <v>0</v>
      </c>
      <c r="I47" s="852">
        <f>H47*'Emission Factors'!$B$639</f>
        <v>0</v>
      </c>
      <c r="J47" s="849"/>
      <c r="K47" s="853">
        <f t="shared" si="3"/>
        <v>0</v>
      </c>
      <c r="L47" s="852">
        <f>K47*'Emission Factors'!$B$641</f>
        <v>0</v>
      </c>
      <c r="M47" s="849"/>
      <c r="N47" s="853">
        <f t="shared" si="4"/>
        <v>0</v>
      </c>
      <c r="O47" s="852">
        <f>N47*'Emission Factors'!$B$642</f>
        <v>0</v>
      </c>
      <c r="P47" s="1583"/>
      <c r="Q47" s="1584">
        <f t="shared" si="5"/>
        <v>0</v>
      </c>
      <c r="R47" s="1585">
        <f>Q47*'Emission Factors'!$B$642</f>
        <v>0</v>
      </c>
    </row>
    <row r="48" spans="1:18" s="765" customFormat="1">
      <c r="A48" s="848"/>
      <c r="B48" s="849"/>
      <c r="C48" s="850">
        <f t="shared" si="1"/>
        <v>0</v>
      </c>
      <c r="D48" s="851">
        <f>C48*1.10231*'Emission Factors'!$B$671</f>
        <v>0</v>
      </c>
      <c r="E48" s="849"/>
      <c r="F48" s="852">
        <f>E48*'Emission Factors'!$B$663/1000</f>
        <v>0</v>
      </c>
      <c r="G48" s="849"/>
      <c r="H48" s="853">
        <f t="shared" si="2"/>
        <v>0</v>
      </c>
      <c r="I48" s="852">
        <f>H48*'Emission Factors'!$B$639</f>
        <v>0</v>
      </c>
      <c r="J48" s="849"/>
      <c r="K48" s="853">
        <f t="shared" si="3"/>
        <v>0</v>
      </c>
      <c r="L48" s="852">
        <f>K48*'Emission Factors'!$B$641</f>
        <v>0</v>
      </c>
      <c r="M48" s="849"/>
      <c r="N48" s="853">
        <f t="shared" si="4"/>
        <v>0</v>
      </c>
      <c r="O48" s="852">
        <f>N48*'Emission Factors'!$B$642</f>
        <v>0</v>
      </c>
      <c r="P48" s="1583"/>
      <c r="Q48" s="1584">
        <f t="shared" si="5"/>
        <v>0</v>
      </c>
      <c r="R48" s="1585">
        <f>Q48*'Emission Factors'!$B$642</f>
        <v>0</v>
      </c>
    </row>
    <row r="49" spans="1:18" s="765" customFormat="1">
      <c r="A49" s="848"/>
      <c r="B49" s="849"/>
      <c r="C49" s="850">
        <f t="shared" si="1"/>
        <v>0</v>
      </c>
      <c r="D49" s="851">
        <f>C49*1.10231*'Emission Factors'!$B$671</f>
        <v>0</v>
      </c>
      <c r="E49" s="849"/>
      <c r="F49" s="852">
        <f>E49*'Emission Factors'!$B$663/1000</f>
        <v>0</v>
      </c>
      <c r="G49" s="849"/>
      <c r="H49" s="853">
        <f t="shared" si="2"/>
        <v>0</v>
      </c>
      <c r="I49" s="852">
        <f>H49*'Emission Factors'!$B$639</f>
        <v>0</v>
      </c>
      <c r="J49" s="849"/>
      <c r="K49" s="853">
        <f t="shared" si="3"/>
        <v>0</v>
      </c>
      <c r="L49" s="852">
        <f>K49*'Emission Factors'!$B$641</f>
        <v>0</v>
      </c>
      <c r="M49" s="849"/>
      <c r="N49" s="853">
        <f t="shared" si="4"/>
        <v>0</v>
      </c>
      <c r="O49" s="852">
        <f>N49*'Emission Factors'!$B$642</f>
        <v>0</v>
      </c>
      <c r="P49" s="1583"/>
      <c r="Q49" s="1584">
        <f t="shared" si="5"/>
        <v>0</v>
      </c>
      <c r="R49" s="1585">
        <f>Q49*'Emission Factors'!$B$642</f>
        <v>0</v>
      </c>
    </row>
    <row r="50" spans="1:18" s="765" customFormat="1">
      <c r="A50" s="848"/>
      <c r="B50" s="849"/>
      <c r="C50" s="850">
        <f t="shared" si="1"/>
        <v>0</v>
      </c>
      <c r="D50" s="851">
        <f>C50*1.10231*'Emission Factors'!$B$671</f>
        <v>0</v>
      </c>
      <c r="E50" s="849"/>
      <c r="F50" s="852">
        <f>E50*'Emission Factors'!$B$663/1000</f>
        <v>0</v>
      </c>
      <c r="G50" s="849"/>
      <c r="H50" s="853">
        <f t="shared" si="2"/>
        <v>0</v>
      </c>
      <c r="I50" s="852">
        <f>H50*'Emission Factors'!$B$639</f>
        <v>0</v>
      </c>
      <c r="J50" s="849"/>
      <c r="K50" s="853">
        <f t="shared" si="3"/>
        <v>0</v>
      </c>
      <c r="L50" s="852">
        <f>K50*'Emission Factors'!$B$641</f>
        <v>0</v>
      </c>
      <c r="M50" s="849"/>
      <c r="N50" s="853">
        <f t="shared" si="4"/>
        <v>0</v>
      </c>
      <c r="O50" s="852">
        <f>N50*'Emission Factors'!$B$642</f>
        <v>0</v>
      </c>
      <c r="P50" s="1583"/>
      <c r="Q50" s="1584">
        <f t="shared" si="5"/>
        <v>0</v>
      </c>
      <c r="R50" s="1585">
        <f>Q50*'Emission Factors'!$B$642</f>
        <v>0</v>
      </c>
    </row>
    <row r="51" spans="1:18" s="765" customFormat="1">
      <c r="A51" s="848"/>
      <c r="B51" s="849"/>
      <c r="C51" s="850">
        <f t="shared" si="1"/>
        <v>0</v>
      </c>
      <c r="D51" s="851">
        <f>C51*1.10231*'Emission Factors'!$B$671</f>
        <v>0</v>
      </c>
      <c r="E51" s="849"/>
      <c r="F51" s="852">
        <f>E51*'Emission Factors'!$B$663/1000</f>
        <v>0</v>
      </c>
      <c r="G51" s="849"/>
      <c r="H51" s="853">
        <f t="shared" si="2"/>
        <v>0</v>
      </c>
      <c r="I51" s="852">
        <f>H51*'Emission Factors'!$B$639</f>
        <v>0</v>
      </c>
      <c r="J51" s="854"/>
      <c r="K51" s="853">
        <f t="shared" si="3"/>
        <v>0</v>
      </c>
      <c r="L51" s="852">
        <f>K51*'Emission Factors'!$B$641</f>
        <v>0</v>
      </c>
      <c r="M51" s="849"/>
      <c r="N51" s="853">
        <f t="shared" si="4"/>
        <v>0</v>
      </c>
      <c r="O51" s="852">
        <f>N51*'Emission Factors'!$B$642</f>
        <v>0</v>
      </c>
      <c r="P51" s="1583"/>
      <c r="Q51" s="1584">
        <f t="shared" si="5"/>
        <v>0</v>
      </c>
      <c r="R51" s="1585">
        <f>Q51*'Emission Factors'!$B$642</f>
        <v>0</v>
      </c>
    </row>
    <row r="52" spans="1:18" s="765" customFormat="1">
      <c r="A52" s="848"/>
      <c r="B52" s="849"/>
      <c r="C52" s="850">
        <f t="shared" si="1"/>
        <v>0</v>
      </c>
      <c r="D52" s="851">
        <f>C52*1.10231*'Emission Factors'!$B$671</f>
        <v>0</v>
      </c>
      <c r="E52" s="849"/>
      <c r="F52" s="852">
        <f>E52*'Emission Factors'!$B$663/1000</f>
        <v>0</v>
      </c>
      <c r="G52" s="849"/>
      <c r="H52" s="853">
        <f t="shared" si="2"/>
        <v>0</v>
      </c>
      <c r="I52" s="852">
        <f>H52*'Emission Factors'!$B$639</f>
        <v>0</v>
      </c>
      <c r="J52" s="854"/>
      <c r="K52" s="853">
        <f t="shared" si="3"/>
        <v>0</v>
      </c>
      <c r="L52" s="852">
        <f>K52*'Emission Factors'!$B$641</f>
        <v>0</v>
      </c>
      <c r="M52" s="854"/>
      <c r="N52" s="853">
        <f t="shared" si="4"/>
        <v>0</v>
      </c>
      <c r="O52" s="852">
        <f>N52*'Emission Factors'!$B$642</f>
        <v>0</v>
      </c>
      <c r="P52" s="1586"/>
      <c r="Q52" s="1584">
        <f t="shared" si="5"/>
        <v>0</v>
      </c>
      <c r="R52" s="1585">
        <f>Q52*'Emission Factors'!$B$642</f>
        <v>0</v>
      </c>
    </row>
    <row r="53" spans="1:18" s="765" customFormat="1">
      <c r="A53" s="848"/>
      <c r="B53" s="849"/>
      <c r="C53" s="850">
        <f t="shared" si="1"/>
        <v>0</v>
      </c>
      <c r="D53" s="851">
        <f>C53*1.10231*'Emission Factors'!$B$671</f>
        <v>0</v>
      </c>
      <c r="E53" s="849"/>
      <c r="F53" s="852">
        <f>E53*'Emission Factors'!$B$663/1000</f>
        <v>0</v>
      </c>
      <c r="G53" s="849"/>
      <c r="H53" s="853">
        <f t="shared" si="2"/>
        <v>0</v>
      </c>
      <c r="I53" s="852">
        <f>H53*'Emission Factors'!$B$639</f>
        <v>0</v>
      </c>
      <c r="J53" s="854"/>
      <c r="K53" s="853">
        <f t="shared" si="3"/>
        <v>0</v>
      </c>
      <c r="L53" s="852">
        <f>K53*'Emission Factors'!$B$641</f>
        <v>0</v>
      </c>
      <c r="M53" s="854"/>
      <c r="N53" s="853">
        <f t="shared" si="4"/>
        <v>0</v>
      </c>
      <c r="O53" s="852">
        <f>N53*'Emission Factors'!$B$642</f>
        <v>0</v>
      </c>
      <c r="P53" s="1586"/>
      <c r="Q53" s="1584">
        <f t="shared" si="5"/>
        <v>0</v>
      </c>
      <c r="R53" s="1585">
        <f>Q53*'Emission Factors'!$B$642</f>
        <v>0</v>
      </c>
    </row>
    <row r="54" spans="1:18" s="765" customFormat="1">
      <c r="A54" s="848"/>
      <c r="B54" s="849"/>
      <c r="C54" s="850">
        <f t="shared" si="1"/>
        <v>0</v>
      </c>
      <c r="D54" s="851">
        <f>C54*1.10231*'Emission Factors'!$B$671</f>
        <v>0</v>
      </c>
      <c r="E54" s="849"/>
      <c r="F54" s="852">
        <f>E54*'Emission Factors'!$B$663/1000</f>
        <v>0</v>
      </c>
      <c r="G54" s="849"/>
      <c r="H54" s="853">
        <f t="shared" si="2"/>
        <v>0</v>
      </c>
      <c r="I54" s="852">
        <f>H54*'Emission Factors'!$B$639</f>
        <v>0</v>
      </c>
      <c r="J54" s="854"/>
      <c r="K54" s="853">
        <f t="shared" si="3"/>
        <v>0</v>
      </c>
      <c r="L54" s="852">
        <f>K54*'Emission Factors'!$B$641</f>
        <v>0</v>
      </c>
      <c r="M54" s="854"/>
      <c r="N54" s="853">
        <f t="shared" si="4"/>
        <v>0</v>
      </c>
      <c r="O54" s="852">
        <f>N54*'Emission Factors'!$B$642</f>
        <v>0</v>
      </c>
      <c r="P54" s="1586"/>
      <c r="Q54" s="1584">
        <f t="shared" si="5"/>
        <v>0</v>
      </c>
      <c r="R54" s="1585">
        <f>Q54*'Emission Factors'!$B$642</f>
        <v>0</v>
      </c>
    </row>
    <row r="55" spans="1:18" s="765" customFormat="1">
      <c r="A55" s="848"/>
      <c r="B55" s="849"/>
      <c r="C55" s="850">
        <f t="shared" si="1"/>
        <v>0</v>
      </c>
      <c r="D55" s="851">
        <f>C55*1.10231*'Emission Factors'!$B$671</f>
        <v>0</v>
      </c>
      <c r="E55" s="849"/>
      <c r="F55" s="852">
        <f>E55*'Emission Factors'!$B$663/1000</f>
        <v>0</v>
      </c>
      <c r="G55" s="849"/>
      <c r="H55" s="853">
        <f t="shared" si="2"/>
        <v>0</v>
      </c>
      <c r="I55" s="852">
        <f>H55*'Emission Factors'!$B$639</f>
        <v>0</v>
      </c>
      <c r="J55" s="854"/>
      <c r="K55" s="853">
        <f t="shared" si="3"/>
        <v>0</v>
      </c>
      <c r="L55" s="852">
        <f>K55*'Emission Factors'!$B$641</f>
        <v>0</v>
      </c>
      <c r="M55" s="854"/>
      <c r="N55" s="853">
        <f t="shared" si="4"/>
        <v>0</v>
      </c>
      <c r="O55" s="852">
        <f>N55*'Emission Factors'!$B$642</f>
        <v>0</v>
      </c>
      <c r="P55" s="1586"/>
      <c r="Q55" s="1584">
        <f t="shared" si="5"/>
        <v>0</v>
      </c>
      <c r="R55" s="1585">
        <f>Q55*'Emission Factors'!$B$642</f>
        <v>0</v>
      </c>
    </row>
    <row r="56" spans="1:18" s="765" customFormat="1">
      <c r="A56" s="848"/>
      <c r="B56" s="849"/>
      <c r="C56" s="850">
        <f t="shared" si="1"/>
        <v>0</v>
      </c>
      <c r="D56" s="851">
        <f>C56*1.10231*'Emission Factors'!$B$671</f>
        <v>0</v>
      </c>
      <c r="E56" s="849"/>
      <c r="F56" s="852">
        <f>E56*'Emission Factors'!$B$663/1000</f>
        <v>0</v>
      </c>
      <c r="G56" s="849"/>
      <c r="H56" s="853">
        <f t="shared" si="2"/>
        <v>0</v>
      </c>
      <c r="I56" s="852">
        <f>H56*'Emission Factors'!$B$639</f>
        <v>0</v>
      </c>
      <c r="J56" s="854"/>
      <c r="K56" s="853">
        <f t="shared" si="3"/>
        <v>0</v>
      </c>
      <c r="L56" s="852">
        <f>K56*'Emission Factors'!$B$641</f>
        <v>0</v>
      </c>
      <c r="M56" s="854"/>
      <c r="N56" s="853">
        <f t="shared" si="4"/>
        <v>0</v>
      </c>
      <c r="O56" s="852">
        <f>N56*'Emission Factors'!$B$642</f>
        <v>0</v>
      </c>
      <c r="P56" s="1586"/>
      <c r="Q56" s="1584">
        <f t="shared" si="5"/>
        <v>0</v>
      </c>
      <c r="R56" s="1585">
        <f>Q56*'Emission Factors'!$B$642</f>
        <v>0</v>
      </c>
    </row>
    <row r="57" spans="1:18" s="765" customFormat="1">
      <c r="A57" s="848"/>
      <c r="B57" s="849"/>
      <c r="C57" s="850">
        <f t="shared" si="1"/>
        <v>0</v>
      </c>
      <c r="D57" s="851">
        <f>C57*1.10231*'Emission Factors'!$B$671</f>
        <v>0</v>
      </c>
      <c r="E57" s="849"/>
      <c r="F57" s="852">
        <f>E57*'Emission Factors'!$B$663/1000</f>
        <v>0</v>
      </c>
      <c r="G57" s="849"/>
      <c r="H57" s="853">
        <f t="shared" si="2"/>
        <v>0</v>
      </c>
      <c r="I57" s="852">
        <f>H57*'Emission Factors'!$B$639</f>
        <v>0</v>
      </c>
      <c r="J57" s="854"/>
      <c r="K57" s="853">
        <f t="shared" si="3"/>
        <v>0</v>
      </c>
      <c r="L57" s="852">
        <f>K57*'Emission Factors'!$B$641</f>
        <v>0</v>
      </c>
      <c r="M57" s="854"/>
      <c r="N57" s="853">
        <f t="shared" si="4"/>
        <v>0</v>
      </c>
      <c r="O57" s="852">
        <f>N57*'Emission Factors'!$B$642</f>
        <v>0</v>
      </c>
      <c r="P57" s="1586"/>
      <c r="Q57" s="1584">
        <f t="shared" si="5"/>
        <v>0</v>
      </c>
      <c r="R57" s="1585">
        <f>Q57*'Emission Factors'!$B$642</f>
        <v>0</v>
      </c>
    </row>
    <row r="58" spans="1:18" s="765" customFormat="1">
      <c r="A58" s="848"/>
      <c r="B58" s="849"/>
      <c r="C58" s="850">
        <f t="shared" si="1"/>
        <v>0</v>
      </c>
      <c r="D58" s="851">
        <f>C58*1.10231*'Emission Factors'!$B$671</f>
        <v>0</v>
      </c>
      <c r="E58" s="849"/>
      <c r="F58" s="852">
        <f>E58*'Emission Factors'!$B$663/1000</f>
        <v>0</v>
      </c>
      <c r="G58" s="849"/>
      <c r="H58" s="853">
        <f t="shared" si="2"/>
        <v>0</v>
      </c>
      <c r="I58" s="852">
        <f>H58*'Emission Factors'!$B$639</f>
        <v>0</v>
      </c>
      <c r="J58" s="854"/>
      <c r="K58" s="853">
        <f t="shared" si="3"/>
        <v>0</v>
      </c>
      <c r="L58" s="852">
        <f>K58*'Emission Factors'!$B$641</f>
        <v>0</v>
      </c>
      <c r="M58" s="854"/>
      <c r="N58" s="853">
        <f t="shared" si="4"/>
        <v>0</v>
      </c>
      <c r="O58" s="852">
        <f>N58*'Emission Factors'!$B$642</f>
        <v>0</v>
      </c>
      <c r="P58" s="1586"/>
      <c r="Q58" s="1584">
        <f t="shared" si="5"/>
        <v>0</v>
      </c>
      <c r="R58" s="1585">
        <f>Q58*'Emission Factors'!$B$642</f>
        <v>0</v>
      </c>
    </row>
    <row r="59" spans="1:18" s="765" customFormat="1">
      <c r="A59" s="848"/>
      <c r="B59" s="849"/>
      <c r="C59" s="850">
        <f t="shared" si="1"/>
        <v>0</v>
      </c>
      <c r="D59" s="851">
        <f>C59*1.10231*'Emission Factors'!$B$671</f>
        <v>0</v>
      </c>
      <c r="E59" s="849"/>
      <c r="F59" s="852">
        <f>E59*'Emission Factors'!$B$663/1000</f>
        <v>0</v>
      </c>
      <c r="G59" s="849"/>
      <c r="H59" s="853">
        <f t="shared" si="2"/>
        <v>0</v>
      </c>
      <c r="I59" s="852">
        <f>H59*'Emission Factors'!$B$639</f>
        <v>0</v>
      </c>
      <c r="J59" s="854"/>
      <c r="K59" s="853">
        <f t="shared" si="3"/>
        <v>0</v>
      </c>
      <c r="L59" s="852">
        <f>K59*'Emission Factors'!$B$641</f>
        <v>0</v>
      </c>
      <c r="M59" s="854"/>
      <c r="N59" s="853">
        <f t="shared" si="4"/>
        <v>0</v>
      </c>
      <c r="O59" s="852">
        <f>N59*'Emission Factors'!$B$642</f>
        <v>0</v>
      </c>
      <c r="P59" s="1586"/>
      <c r="Q59" s="1584">
        <f t="shared" si="5"/>
        <v>0</v>
      </c>
      <c r="R59" s="1585">
        <f>Q59*'Emission Factors'!$B$642</f>
        <v>0</v>
      </c>
    </row>
    <row r="60" spans="1:18" s="765" customFormat="1">
      <c r="A60" s="848"/>
      <c r="B60" s="849"/>
      <c r="C60" s="850">
        <f t="shared" si="1"/>
        <v>0</v>
      </c>
      <c r="D60" s="851">
        <f>C60*1.10231*'Emission Factors'!$B$671</f>
        <v>0</v>
      </c>
      <c r="E60" s="849"/>
      <c r="F60" s="852">
        <f>E60*'Emission Factors'!$B$663/1000</f>
        <v>0</v>
      </c>
      <c r="G60" s="849"/>
      <c r="H60" s="853">
        <f t="shared" si="2"/>
        <v>0</v>
      </c>
      <c r="I60" s="852">
        <f>H60*'Emission Factors'!$B$639</f>
        <v>0</v>
      </c>
      <c r="J60" s="854"/>
      <c r="K60" s="853">
        <f t="shared" si="3"/>
        <v>0</v>
      </c>
      <c r="L60" s="852">
        <f>K60*'Emission Factors'!$B$641</f>
        <v>0</v>
      </c>
      <c r="M60" s="854"/>
      <c r="N60" s="853">
        <f t="shared" si="4"/>
        <v>0</v>
      </c>
      <c r="O60" s="852">
        <f>N60*'Emission Factors'!$B$642</f>
        <v>0</v>
      </c>
      <c r="P60" s="1586"/>
      <c r="Q60" s="1584">
        <f t="shared" si="5"/>
        <v>0</v>
      </c>
      <c r="R60" s="1585">
        <f>Q60*'Emission Factors'!$B$642</f>
        <v>0</v>
      </c>
    </row>
    <row r="61" spans="1:18" s="765" customFormat="1">
      <c r="A61" s="848"/>
      <c r="B61" s="849"/>
      <c r="C61" s="850">
        <f t="shared" si="1"/>
        <v>0</v>
      </c>
      <c r="D61" s="851">
        <f>C61*1.10231*'Emission Factors'!$B$671</f>
        <v>0</v>
      </c>
      <c r="E61" s="849"/>
      <c r="F61" s="852">
        <f>E61*'Emission Factors'!$B$663/1000</f>
        <v>0</v>
      </c>
      <c r="G61" s="849"/>
      <c r="H61" s="853">
        <f t="shared" si="2"/>
        <v>0</v>
      </c>
      <c r="I61" s="852">
        <f>H61*'Emission Factors'!$B$639</f>
        <v>0</v>
      </c>
      <c r="J61" s="854"/>
      <c r="K61" s="853">
        <f t="shared" si="3"/>
        <v>0</v>
      </c>
      <c r="L61" s="852">
        <f>K61*'Emission Factors'!$B$641</f>
        <v>0</v>
      </c>
      <c r="M61" s="854"/>
      <c r="N61" s="853">
        <f t="shared" si="4"/>
        <v>0</v>
      </c>
      <c r="O61" s="852">
        <f>N61*'Emission Factors'!$B$642</f>
        <v>0</v>
      </c>
      <c r="P61" s="1586"/>
      <c r="Q61" s="1584">
        <f t="shared" si="5"/>
        <v>0</v>
      </c>
      <c r="R61" s="1585">
        <f>Q61*'Emission Factors'!$B$642</f>
        <v>0</v>
      </c>
    </row>
    <row r="62" spans="1:18" s="765" customFormat="1">
      <c r="A62" s="848"/>
      <c r="B62" s="849"/>
      <c r="C62" s="850">
        <f t="shared" si="1"/>
        <v>0</v>
      </c>
      <c r="D62" s="851">
        <f>C62*1.10231*'Emission Factors'!$B$671</f>
        <v>0</v>
      </c>
      <c r="E62" s="849"/>
      <c r="F62" s="852">
        <f>E62*'Emission Factors'!$B$663/1000</f>
        <v>0</v>
      </c>
      <c r="G62" s="849"/>
      <c r="H62" s="853">
        <f t="shared" si="2"/>
        <v>0</v>
      </c>
      <c r="I62" s="852">
        <f>H62*'Emission Factors'!$B$639</f>
        <v>0</v>
      </c>
      <c r="J62" s="854"/>
      <c r="K62" s="853">
        <f t="shared" si="3"/>
        <v>0</v>
      </c>
      <c r="L62" s="852">
        <f>K62*'Emission Factors'!$B$641</f>
        <v>0</v>
      </c>
      <c r="M62" s="854"/>
      <c r="N62" s="853">
        <f t="shared" si="4"/>
        <v>0</v>
      </c>
      <c r="O62" s="852">
        <f>N62*'Emission Factors'!$B$642</f>
        <v>0</v>
      </c>
      <c r="P62" s="1586"/>
      <c r="Q62" s="1584">
        <f t="shared" si="5"/>
        <v>0</v>
      </c>
      <c r="R62" s="1585">
        <f>Q62*'Emission Factors'!$B$642</f>
        <v>0</v>
      </c>
    </row>
    <row r="63" spans="1:18" s="765" customFormat="1">
      <c r="A63" s="848"/>
      <c r="B63" s="849"/>
      <c r="C63" s="850">
        <f t="shared" si="1"/>
        <v>0</v>
      </c>
      <c r="D63" s="851">
        <f>C63*1.10231*'Emission Factors'!$B$671</f>
        <v>0</v>
      </c>
      <c r="E63" s="849"/>
      <c r="F63" s="852">
        <f>E63*'Emission Factors'!$B$663/1000</f>
        <v>0</v>
      </c>
      <c r="G63" s="849"/>
      <c r="H63" s="853">
        <f t="shared" si="2"/>
        <v>0</v>
      </c>
      <c r="I63" s="852">
        <f>H63*'Emission Factors'!$B$639</f>
        <v>0</v>
      </c>
      <c r="J63" s="854"/>
      <c r="K63" s="853">
        <f t="shared" si="3"/>
        <v>0</v>
      </c>
      <c r="L63" s="852">
        <f>K63*'Emission Factors'!$B$641</f>
        <v>0</v>
      </c>
      <c r="M63" s="854"/>
      <c r="N63" s="853">
        <f t="shared" si="4"/>
        <v>0</v>
      </c>
      <c r="O63" s="852">
        <f>N63*'Emission Factors'!$B$642</f>
        <v>0</v>
      </c>
      <c r="P63" s="1586"/>
      <c r="Q63" s="1584">
        <f t="shared" si="5"/>
        <v>0</v>
      </c>
      <c r="R63" s="1585">
        <f>Q63*'Emission Factors'!$B$642</f>
        <v>0</v>
      </c>
    </row>
    <row r="64" spans="1:18" s="765" customFormat="1">
      <c r="A64" s="848"/>
      <c r="B64" s="849"/>
      <c r="C64" s="850">
        <f t="shared" si="1"/>
        <v>0</v>
      </c>
      <c r="D64" s="851">
        <f>C64*1.10231*'Emission Factors'!$B$671</f>
        <v>0</v>
      </c>
      <c r="E64" s="849"/>
      <c r="F64" s="852">
        <f>E64*'Emission Factors'!$B$663/1000</f>
        <v>0</v>
      </c>
      <c r="G64" s="849"/>
      <c r="H64" s="853">
        <f t="shared" si="2"/>
        <v>0</v>
      </c>
      <c r="I64" s="852">
        <f>H64*'Emission Factors'!$B$639</f>
        <v>0</v>
      </c>
      <c r="J64" s="854"/>
      <c r="K64" s="853">
        <f t="shared" si="3"/>
        <v>0</v>
      </c>
      <c r="L64" s="852">
        <f>K64*'Emission Factors'!$B$641</f>
        <v>0</v>
      </c>
      <c r="M64" s="854"/>
      <c r="N64" s="853">
        <f t="shared" si="4"/>
        <v>0</v>
      </c>
      <c r="O64" s="852">
        <f>N64*'Emission Factors'!$B$642</f>
        <v>0</v>
      </c>
      <c r="P64" s="1586"/>
      <c r="Q64" s="1584">
        <f t="shared" si="5"/>
        <v>0</v>
      </c>
      <c r="R64" s="1585">
        <f>Q64*'Emission Factors'!$B$642</f>
        <v>0</v>
      </c>
    </row>
    <row r="65" spans="1:22">
      <c r="A65" s="848"/>
      <c r="B65" s="849"/>
      <c r="C65" s="850">
        <f t="shared" si="1"/>
        <v>0</v>
      </c>
      <c r="D65" s="851">
        <f>C65*1.10231*'Emission Factors'!$B$671</f>
        <v>0</v>
      </c>
      <c r="E65" s="849"/>
      <c r="F65" s="852">
        <f>E65*'Emission Factors'!$B$663/1000</f>
        <v>0</v>
      </c>
      <c r="G65" s="849"/>
      <c r="H65" s="853">
        <f t="shared" si="2"/>
        <v>0</v>
      </c>
      <c r="I65" s="852">
        <f>H65*'Emission Factors'!$B$639</f>
        <v>0</v>
      </c>
      <c r="J65" s="854"/>
      <c r="K65" s="853">
        <f t="shared" si="3"/>
        <v>0</v>
      </c>
      <c r="L65" s="852">
        <f>K65*'Emission Factors'!$B$641</f>
        <v>0</v>
      </c>
      <c r="M65" s="854"/>
      <c r="N65" s="853">
        <f t="shared" si="4"/>
        <v>0</v>
      </c>
      <c r="O65" s="852">
        <f>N65*'Emission Factors'!$B$642</f>
        <v>0</v>
      </c>
      <c r="P65" s="1586"/>
      <c r="Q65" s="1584">
        <f t="shared" si="5"/>
        <v>0</v>
      </c>
      <c r="R65" s="1585">
        <f>Q65*'Emission Factors'!$B$642</f>
        <v>0</v>
      </c>
      <c r="V65" s="765"/>
    </row>
    <row r="66" spans="1:22">
      <c r="A66" s="848"/>
      <c r="B66" s="849"/>
      <c r="C66" s="850">
        <f t="shared" si="1"/>
        <v>0</v>
      </c>
      <c r="D66" s="851">
        <f>C66*1.10231*'Emission Factors'!$B$671</f>
        <v>0</v>
      </c>
      <c r="E66" s="849"/>
      <c r="F66" s="852">
        <f>E66*'Emission Factors'!$B$663/1000</f>
        <v>0</v>
      </c>
      <c r="G66" s="849"/>
      <c r="H66" s="853">
        <f t="shared" si="2"/>
        <v>0</v>
      </c>
      <c r="I66" s="852">
        <f>H66*'Emission Factors'!$B$639</f>
        <v>0</v>
      </c>
      <c r="J66" s="854"/>
      <c r="K66" s="853">
        <f t="shared" si="3"/>
        <v>0</v>
      </c>
      <c r="L66" s="852">
        <f>K66*'Emission Factors'!$B$641</f>
        <v>0</v>
      </c>
      <c r="M66" s="854"/>
      <c r="N66" s="853">
        <f t="shared" si="4"/>
        <v>0</v>
      </c>
      <c r="O66" s="852">
        <f>N66*'Emission Factors'!$B$642</f>
        <v>0</v>
      </c>
      <c r="P66" s="1586"/>
      <c r="Q66" s="1584">
        <f t="shared" si="5"/>
        <v>0</v>
      </c>
      <c r="R66" s="1585">
        <f>Q66*'Emission Factors'!$B$642</f>
        <v>0</v>
      </c>
      <c r="V66" s="765"/>
    </row>
    <row r="67" spans="1:22">
      <c r="A67" s="848"/>
      <c r="B67" s="849"/>
      <c r="C67" s="850">
        <f t="shared" si="1"/>
        <v>0</v>
      </c>
      <c r="D67" s="851">
        <f>C67*1.10231*'Emission Factors'!$B$671</f>
        <v>0</v>
      </c>
      <c r="E67" s="849"/>
      <c r="F67" s="852">
        <f>E67*'Emission Factors'!$B$663/1000</f>
        <v>0</v>
      </c>
      <c r="G67" s="849"/>
      <c r="H67" s="853">
        <f t="shared" si="2"/>
        <v>0</v>
      </c>
      <c r="I67" s="852">
        <f>H67*'Emission Factors'!$B$639</f>
        <v>0</v>
      </c>
      <c r="J67" s="854"/>
      <c r="K67" s="853">
        <f t="shared" si="3"/>
        <v>0</v>
      </c>
      <c r="L67" s="852">
        <f>K67*'Emission Factors'!$B$641</f>
        <v>0</v>
      </c>
      <c r="M67" s="854"/>
      <c r="N67" s="853">
        <f t="shared" si="4"/>
        <v>0</v>
      </c>
      <c r="O67" s="852">
        <f>N67*'Emission Factors'!$B$642</f>
        <v>0</v>
      </c>
      <c r="P67" s="1586"/>
      <c r="Q67" s="1584">
        <f t="shared" si="5"/>
        <v>0</v>
      </c>
      <c r="R67" s="1585">
        <f>Q67*'Emission Factors'!$B$642</f>
        <v>0</v>
      </c>
      <c r="V67" s="765"/>
    </row>
    <row r="68" spans="1:22">
      <c r="A68" s="848"/>
      <c r="B68" s="849"/>
      <c r="C68" s="850">
        <f t="shared" si="1"/>
        <v>0</v>
      </c>
      <c r="D68" s="851">
        <f>C68*1.10231*'Emission Factors'!$B$671</f>
        <v>0</v>
      </c>
      <c r="E68" s="849"/>
      <c r="F68" s="852">
        <f>E68*'Emission Factors'!$B$663/1000</f>
        <v>0</v>
      </c>
      <c r="G68" s="849"/>
      <c r="H68" s="853">
        <f t="shared" si="2"/>
        <v>0</v>
      </c>
      <c r="I68" s="852">
        <f>H68*'Emission Factors'!$B$639</f>
        <v>0</v>
      </c>
      <c r="J68" s="854"/>
      <c r="K68" s="853">
        <f t="shared" si="3"/>
        <v>0</v>
      </c>
      <c r="L68" s="852">
        <f>K68*'Emission Factors'!$B$641</f>
        <v>0</v>
      </c>
      <c r="M68" s="854"/>
      <c r="N68" s="853">
        <f t="shared" si="4"/>
        <v>0</v>
      </c>
      <c r="O68" s="852">
        <f>N68*'Emission Factors'!$B$642</f>
        <v>0</v>
      </c>
      <c r="P68" s="1586"/>
      <c r="Q68" s="1584">
        <f t="shared" si="5"/>
        <v>0</v>
      </c>
      <c r="R68" s="1585">
        <f>Q68*'Emission Factors'!$B$642</f>
        <v>0</v>
      </c>
      <c r="V68" s="765"/>
    </row>
    <row r="69" spans="1:22">
      <c r="A69" s="848"/>
      <c r="B69" s="849"/>
      <c r="C69" s="850">
        <f t="shared" si="1"/>
        <v>0</v>
      </c>
      <c r="D69" s="851">
        <f>C69*1.10231*'Emission Factors'!$B$671</f>
        <v>0</v>
      </c>
      <c r="E69" s="849"/>
      <c r="F69" s="852">
        <f>E69*'Emission Factors'!$B$663/1000</f>
        <v>0</v>
      </c>
      <c r="G69" s="849"/>
      <c r="H69" s="853">
        <f t="shared" si="2"/>
        <v>0</v>
      </c>
      <c r="I69" s="852">
        <f>H69*'Emission Factors'!$B$639</f>
        <v>0</v>
      </c>
      <c r="J69" s="854"/>
      <c r="K69" s="853">
        <f t="shared" si="3"/>
        <v>0</v>
      </c>
      <c r="L69" s="852">
        <f>K69*'Emission Factors'!$B$641</f>
        <v>0</v>
      </c>
      <c r="M69" s="854"/>
      <c r="N69" s="853">
        <f t="shared" si="4"/>
        <v>0</v>
      </c>
      <c r="O69" s="852">
        <f>N69*'Emission Factors'!$B$642</f>
        <v>0</v>
      </c>
      <c r="P69" s="1586"/>
      <c r="Q69" s="1584">
        <f t="shared" si="5"/>
        <v>0</v>
      </c>
      <c r="R69" s="1585">
        <f>Q69*'Emission Factors'!$B$642</f>
        <v>0</v>
      </c>
      <c r="V69" s="765"/>
    </row>
    <row r="70" spans="1:22" ht="15.75" thickBot="1">
      <c r="A70" s="848"/>
      <c r="B70" s="855"/>
      <c r="C70" s="856">
        <f t="shared" si="1"/>
        <v>0</v>
      </c>
      <c r="D70" s="857">
        <f>C70*1.10231*'Emission Factors'!$B$671</f>
        <v>0</v>
      </c>
      <c r="E70" s="855"/>
      <c r="F70" s="858">
        <f>E70*'Emission Factors'!$B$663/1000</f>
        <v>0</v>
      </c>
      <c r="G70" s="859"/>
      <c r="H70" s="860">
        <f t="shared" si="2"/>
        <v>0</v>
      </c>
      <c r="I70" s="858">
        <f>H70*'Emission Factors'!$B$639</f>
        <v>0</v>
      </c>
      <c r="J70" s="859"/>
      <c r="K70" s="860">
        <f t="shared" si="3"/>
        <v>0</v>
      </c>
      <c r="L70" s="858">
        <f>K70*'Emission Factors'!$B$641</f>
        <v>0</v>
      </c>
      <c r="M70" s="859"/>
      <c r="N70" s="860">
        <f t="shared" si="4"/>
        <v>0</v>
      </c>
      <c r="O70" s="858">
        <f>N70*'Emission Factors'!$B$642</f>
        <v>0</v>
      </c>
      <c r="P70" s="1587"/>
      <c r="Q70" s="1588">
        <f t="shared" si="5"/>
        <v>0</v>
      </c>
      <c r="R70" s="1589">
        <f>Q70*'Emission Factors'!$B$642</f>
        <v>0</v>
      </c>
      <c r="V70" s="765"/>
    </row>
    <row r="71" spans="1:22" s="694" customFormat="1" ht="21.75" thickBot="1">
      <c r="C71" s="861" t="s">
        <v>524</v>
      </c>
      <c r="D71" s="861">
        <f>SUM(D35:D70)</f>
        <v>0</v>
      </c>
      <c r="F71" s="861">
        <f>SUM(F35:F70)</f>
        <v>0</v>
      </c>
      <c r="I71" s="861">
        <f>SUM(I35:I70)</f>
        <v>0</v>
      </c>
      <c r="L71" s="861">
        <f>SUM(L35:L70)</f>
        <v>0</v>
      </c>
      <c r="O71" s="861">
        <f>SUM(O35:O70)</f>
        <v>0</v>
      </c>
      <c r="R71" s="861">
        <f>SUM(R35:R70)</f>
        <v>0</v>
      </c>
    </row>
    <row r="72" spans="1:22">
      <c r="C72" s="1087"/>
    </row>
    <row r="73" spans="1:22">
      <c r="C73" s="1087"/>
    </row>
    <row r="74" spans="1:22">
      <c r="C74" s="1087"/>
    </row>
    <row r="75" spans="1:22">
      <c r="C75" s="1087"/>
    </row>
    <row r="76" spans="1:22">
      <c r="C76" s="1087"/>
    </row>
    <row r="77" spans="1:22">
      <c r="C77" s="1087"/>
    </row>
    <row r="78" spans="1:22">
      <c r="C78" s="1087"/>
    </row>
    <row r="79" spans="1:22">
      <c r="C79" s="1087"/>
    </row>
    <row r="80" spans="1:22">
      <c r="C80" s="1087"/>
    </row>
    <row r="81" spans="3:3">
      <c r="C81" s="1087"/>
    </row>
    <row r="82" spans="3:3">
      <c r="C82" s="1087"/>
    </row>
    <row r="83" spans="3:3">
      <c r="C83" s="1087"/>
    </row>
    <row r="84" spans="3:3">
      <c r="C84" s="1087"/>
    </row>
    <row r="85" spans="3:3">
      <c r="C85" s="1087"/>
    </row>
    <row r="86" spans="3:3">
      <c r="C86" s="1087"/>
    </row>
    <row r="87" spans="3:3">
      <c r="C87" s="1087"/>
    </row>
    <row r="88" spans="3:3">
      <c r="C88" s="1087"/>
    </row>
    <row r="89" spans="3:3">
      <c r="C89" s="1087"/>
    </row>
    <row r="90" spans="3:3">
      <c r="C90" s="1087"/>
    </row>
    <row r="91" spans="3:3">
      <c r="C91" s="1087"/>
    </row>
    <row r="92" spans="3:3">
      <c r="C92" s="1087"/>
    </row>
    <row r="93" spans="3:3">
      <c r="C93" s="1087"/>
    </row>
    <row r="94" spans="3:3">
      <c r="C94" s="1087"/>
    </row>
    <row r="95" spans="3:3">
      <c r="C95" s="1087"/>
    </row>
    <row r="96" spans="3:3">
      <c r="C96" s="1087"/>
    </row>
    <row r="97" spans="3:3">
      <c r="C97" s="1087"/>
    </row>
    <row r="98" spans="3:3">
      <c r="C98" s="1087"/>
    </row>
    <row r="99" spans="3:3">
      <c r="C99" s="1087"/>
    </row>
    <row r="100" spans="3:3">
      <c r="C100" s="1087"/>
    </row>
    <row r="101" spans="3:3">
      <c r="C101" s="1087"/>
    </row>
    <row r="102" spans="3:3">
      <c r="C102" s="1087"/>
    </row>
    <row r="103" spans="3:3">
      <c r="C103" s="1087"/>
    </row>
    <row r="104" spans="3:3">
      <c r="C104" s="1087"/>
    </row>
    <row r="105" spans="3:3">
      <c r="C105" s="1087"/>
    </row>
    <row r="106" spans="3:3">
      <c r="C106" s="1087"/>
    </row>
    <row r="107" spans="3:3">
      <c r="C107" s="1087"/>
    </row>
    <row r="108" spans="3:3">
      <c r="C108" s="1087"/>
    </row>
    <row r="109" spans="3:3">
      <c r="C109" s="1087"/>
    </row>
    <row r="110" spans="3:3">
      <c r="C110" s="1087"/>
    </row>
    <row r="111" spans="3:3">
      <c r="C111" s="1087"/>
    </row>
    <row r="112" spans="3:3">
      <c r="C112" s="1087"/>
    </row>
    <row r="113" spans="3:3">
      <c r="C113" s="1087"/>
    </row>
    <row r="114" spans="3:3">
      <c r="C114" s="1087"/>
    </row>
    <row r="115" spans="3:3">
      <c r="C115" s="1087"/>
    </row>
    <row r="116" spans="3:3">
      <c r="C116" s="1087"/>
    </row>
    <row r="117" spans="3:3">
      <c r="C117" s="1087"/>
    </row>
    <row r="118" spans="3:3">
      <c r="C118" s="1087"/>
    </row>
    <row r="119" spans="3:3">
      <c r="C119" s="1087"/>
    </row>
    <row r="120" spans="3:3">
      <c r="C120" s="1087"/>
    </row>
    <row r="121" spans="3:3">
      <c r="C121" s="1087"/>
    </row>
    <row r="122" spans="3:3">
      <c r="C122" s="1087"/>
    </row>
    <row r="123" spans="3:3">
      <c r="C123" s="1087"/>
    </row>
    <row r="124" spans="3:3">
      <c r="C124" s="1087"/>
    </row>
    <row r="125" spans="3:3">
      <c r="C125" s="1087"/>
    </row>
    <row r="126" spans="3:3">
      <c r="C126" s="1087"/>
    </row>
    <row r="127" spans="3:3">
      <c r="C127" s="1087"/>
    </row>
    <row r="128" spans="3:3">
      <c r="C128" s="1087"/>
    </row>
    <row r="129" spans="3:3">
      <c r="C129" s="1087"/>
    </row>
    <row r="130" spans="3:3">
      <c r="C130" s="1087"/>
    </row>
    <row r="131" spans="3:3">
      <c r="C131" s="1087"/>
    </row>
    <row r="132" spans="3:3">
      <c r="C132" s="1087"/>
    </row>
    <row r="133" spans="3:3">
      <c r="C133" s="1087"/>
    </row>
    <row r="134" spans="3:3">
      <c r="C134" s="1087"/>
    </row>
    <row r="135" spans="3:3">
      <c r="C135" s="1087"/>
    </row>
    <row r="136" spans="3:3">
      <c r="C136" s="1087"/>
    </row>
    <row r="137" spans="3:3">
      <c r="C137" s="1087"/>
    </row>
    <row r="138" spans="3:3">
      <c r="C138" s="1087"/>
    </row>
    <row r="139" spans="3:3">
      <c r="C139" s="1087"/>
    </row>
    <row r="140" spans="3:3">
      <c r="C140" s="1087"/>
    </row>
    <row r="141" spans="3:3">
      <c r="C141" s="1087"/>
    </row>
    <row r="142" spans="3:3">
      <c r="C142" s="1087"/>
    </row>
    <row r="143" spans="3:3">
      <c r="C143" s="1087"/>
    </row>
    <row r="144" spans="3:3">
      <c r="C144" s="1087"/>
    </row>
    <row r="145" spans="3:3">
      <c r="C145" s="1087"/>
    </row>
    <row r="146" spans="3:3">
      <c r="C146" s="1087"/>
    </row>
    <row r="147" spans="3:3">
      <c r="C147" s="1087"/>
    </row>
    <row r="148" spans="3:3">
      <c r="C148" s="1087"/>
    </row>
    <row r="149" spans="3:3">
      <c r="C149" s="1087"/>
    </row>
    <row r="150" spans="3:3">
      <c r="C150" s="1087"/>
    </row>
    <row r="151" spans="3:3">
      <c r="C151" s="1087"/>
    </row>
    <row r="152" spans="3:3">
      <c r="C152" s="1087"/>
    </row>
    <row r="153" spans="3:3">
      <c r="C153" s="1087"/>
    </row>
    <row r="154" spans="3:3">
      <c r="C154" s="1087"/>
    </row>
    <row r="155" spans="3:3">
      <c r="C155" s="1087"/>
    </row>
    <row r="156" spans="3:3">
      <c r="C156" s="1087"/>
    </row>
    <row r="157" spans="3:3">
      <c r="C157" s="1087"/>
    </row>
    <row r="158" spans="3:3">
      <c r="C158" s="1087"/>
    </row>
    <row r="159" spans="3:3">
      <c r="C159" s="1087"/>
    </row>
    <row r="160" spans="3:3">
      <c r="C160" s="1087"/>
    </row>
    <row r="161" spans="3:3">
      <c r="C161" s="1087"/>
    </row>
    <row r="162" spans="3:3">
      <c r="C162" s="1087"/>
    </row>
    <row r="163" spans="3:3">
      <c r="C163" s="1087"/>
    </row>
    <row r="164" spans="3:3">
      <c r="C164" s="1087"/>
    </row>
    <row r="165" spans="3:3">
      <c r="C165" s="1087"/>
    </row>
    <row r="166" spans="3:3">
      <c r="C166" s="1087"/>
    </row>
    <row r="167" spans="3:3">
      <c r="C167" s="1087"/>
    </row>
    <row r="168" spans="3:3">
      <c r="C168" s="1087"/>
    </row>
    <row r="169" spans="3:3">
      <c r="C169" s="1087"/>
    </row>
    <row r="170" spans="3:3">
      <c r="C170" s="1087"/>
    </row>
    <row r="171" spans="3:3">
      <c r="C171" s="1087"/>
    </row>
    <row r="172" spans="3:3">
      <c r="C172" s="1087"/>
    </row>
    <row r="173" spans="3:3">
      <c r="C173" s="1087"/>
    </row>
    <row r="174" spans="3:3">
      <c r="C174" s="1087"/>
    </row>
    <row r="175" spans="3:3">
      <c r="C175" s="1087"/>
    </row>
    <row r="176" spans="3:3">
      <c r="C176" s="1087"/>
    </row>
    <row r="177" spans="3:3">
      <c r="C177" s="1087"/>
    </row>
    <row r="178" spans="3:3">
      <c r="C178" s="1087"/>
    </row>
    <row r="179" spans="3:3">
      <c r="C179" s="1087"/>
    </row>
    <row r="180" spans="3:3">
      <c r="C180" s="1087"/>
    </row>
    <row r="181" spans="3:3">
      <c r="C181" s="1087"/>
    </row>
    <row r="182" spans="3:3">
      <c r="C182" s="1087"/>
    </row>
    <row r="183" spans="3:3">
      <c r="C183" s="1087"/>
    </row>
    <row r="184" spans="3:3">
      <c r="C184" s="1087"/>
    </row>
    <row r="185" spans="3:3">
      <c r="C185" s="1087"/>
    </row>
    <row r="186" spans="3:3">
      <c r="C186" s="1087"/>
    </row>
    <row r="187" spans="3:3">
      <c r="C187" s="1087"/>
    </row>
    <row r="188" spans="3:3">
      <c r="C188" s="1087"/>
    </row>
    <row r="189" spans="3:3">
      <c r="C189" s="1087"/>
    </row>
    <row r="190" spans="3:3">
      <c r="C190" s="1087"/>
    </row>
    <row r="191" spans="3:3">
      <c r="C191" s="1087"/>
    </row>
    <row r="192" spans="3:3">
      <c r="C192" s="1087"/>
    </row>
    <row r="193" spans="3:3">
      <c r="C193" s="1087"/>
    </row>
    <row r="194" spans="3:3">
      <c r="C194" s="1087"/>
    </row>
    <row r="195" spans="3:3">
      <c r="C195" s="1087"/>
    </row>
    <row r="196" spans="3:3">
      <c r="C196" s="1087"/>
    </row>
    <row r="197" spans="3:3">
      <c r="C197" s="1087"/>
    </row>
    <row r="198" spans="3:3">
      <c r="C198" s="1087"/>
    </row>
    <row r="199" spans="3:3">
      <c r="C199" s="1087"/>
    </row>
    <row r="200" spans="3:3">
      <c r="C200" s="1087"/>
    </row>
    <row r="201" spans="3:3">
      <c r="C201" s="1087"/>
    </row>
    <row r="202" spans="3:3">
      <c r="C202" s="1087"/>
    </row>
    <row r="203" spans="3:3">
      <c r="C203" s="1087"/>
    </row>
    <row r="204" spans="3:3">
      <c r="C204" s="1087"/>
    </row>
    <row r="205" spans="3:3">
      <c r="C205" s="1087"/>
    </row>
    <row r="206" spans="3:3">
      <c r="C206" s="1087"/>
    </row>
    <row r="207" spans="3:3">
      <c r="C207" s="1087"/>
    </row>
    <row r="208" spans="3:3">
      <c r="C208" s="1087"/>
    </row>
    <row r="209" spans="3:3">
      <c r="C209" s="1087"/>
    </row>
    <row r="210" spans="3:3">
      <c r="C210" s="1087"/>
    </row>
    <row r="211" spans="3:3">
      <c r="C211" s="1087"/>
    </row>
    <row r="212" spans="3:3">
      <c r="C212" s="1087"/>
    </row>
    <row r="213" spans="3:3">
      <c r="C213" s="1087"/>
    </row>
    <row r="214" spans="3:3">
      <c r="C214" s="1087"/>
    </row>
    <row r="215" spans="3:3">
      <c r="C215" s="1087"/>
    </row>
    <row r="216" spans="3:3">
      <c r="C216" s="1087"/>
    </row>
    <row r="217" spans="3:3">
      <c r="C217" s="1087"/>
    </row>
    <row r="218" spans="3:3">
      <c r="C218" s="1087"/>
    </row>
    <row r="219" spans="3:3">
      <c r="C219" s="1087"/>
    </row>
    <row r="220" spans="3:3">
      <c r="C220" s="1087"/>
    </row>
    <row r="221" spans="3:3">
      <c r="C221" s="1087"/>
    </row>
    <row r="222" spans="3:3">
      <c r="C222" s="1087"/>
    </row>
    <row r="223" spans="3:3">
      <c r="C223" s="1087"/>
    </row>
    <row r="224" spans="3:3">
      <c r="C224" s="1087"/>
    </row>
    <row r="225" spans="3:3">
      <c r="C225" s="1087"/>
    </row>
    <row r="226" spans="3:3">
      <c r="C226" s="1087"/>
    </row>
    <row r="227" spans="3:3">
      <c r="C227" s="1087"/>
    </row>
    <row r="228" spans="3:3">
      <c r="C228" s="1087"/>
    </row>
    <row r="229" spans="3:3">
      <c r="C229" s="1087"/>
    </row>
    <row r="230" spans="3:3">
      <c r="C230" s="1087"/>
    </row>
    <row r="231" spans="3:3">
      <c r="C231" s="1087"/>
    </row>
    <row r="232" spans="3:3">
      <c r="C232" s="1087"/>
    </row>
    <row r="233" spans="3:3">
      <c r="C233" s="1087"/>
    </row>
    <row r="234" spans="3:3">
      <c r="C234" s="1087"/>
    </row>
    <row r="235" spans="3:3">
      <c r="C235" s="1087"/>
    </row>
    <row r="236" spans="3:3">
      <c r="C236" s="1087"/>
    </row>
    <row r="237" spans="3:3">
      <c r="C237" s="1087"/>
    </row>
    <row r="238" spans="3:3">
      <c r="C238" s="1087"/>
    </row>
    <row r="239" spans="3:3">
      <c r="C239" s="1087"/>
    </row>
    <row r="240" spans="3:3">
      <c r="C240" s="1087"/>
    </row>
    <row r="241" spans="3:3">
      <c r="C241" s="1087"/>
    </row>
    <row r="242" spans="3:3">
      <c r="C242" s="1087"/>
    </row>
    <row r="243" spans="3:3">
      <c r="C243" s="1087"/>
    </row>
    <row r="244" spans="3:3">
      <c r="C244" s="1087"/>
    </row>
    <row r="245" spans="3:3">
      <c r="C245" s="1087"/>
    </row>
    <row r="246" spans="3:3">
      <c r="C246" s="1087"/>
    </row>
    <row r="247" spans="3:3">
      <c r="C247" s="1087"/>
    </row>
    <row r="248" spans="3:3">
      <c r="C248" s="1087"/>
    </row>
    <row r="249" spans="3:3">
      <c r="C249" s="1087"/>
    </row>
    <row r="250" spans="3:3">
      <c r="C250" s="1087"/>
    </row>
    <row r="251" spans="3:3">
      <c r="C251" s="1087"/>
    </row>
    <row r="252" spans="3:3">
      <c r="C252" s="1087"/>
    </row>
    <row r="253" spans="3:3">
      <c r="C253" s="1087"/>
    </row>
    <row r="254" spans="3:3">
      <c r="C254" s="1087"/>
    </row>
    <row r="255" spans="3:3">
      <c r="C255" s="1087"/>
    </row>
    <row r="256" spans="3:3">
      <c r="C256" s="1087"/>
    </row>
    <row r="257" spans="3:3">
      <c r="C257" s="1087"/>
    </row>
    <row r="258" spans="3:3">
      <c r="C258" s="1087"/>
    </row>
    <row r="259" spans="3:3">
      <c r="C259" s="1087"/>
    </row>
    <row r="260" spans="3:3">
      <c r="C260" s="1087"/>
    </row>
    <row r="261" spans="3:3">
      <c r="C261" s="1087"/>
    </row>
    <row r="262" spans="3:3">
      <c r="C262" s="1087"/>
    </row>
    <row r="263" spans="3:3">
      <c r="C263" s="1087"/>
    </row>
    <row r="264" spans="3:3">
      <c r="C264" s="1087"/>
    </row>
    <row r="265" spans="3:3">
      <c r="C265" s="1087"/>
    </row>
    <row r="266" spans="3:3">
      <c r="C266" s="1087"/>
    </row>
    <row r="267" spans="3:3">
      <c r="C267" s="1087"/>
    </row>
    <row r="268" spans="3:3">
      <c r="C268" s="1087"/>
    </row>
    <row r="269" spans="3:3">
      <c r="C269" s="1087"/>
    </row>
    <row r="270" spans="3:3">
      <c r="C270" s="1087"/>
    </row>
    <row r="271" spans="3:3">
      <c r="C271" s="1087"/>
    </row>
    <row r="272" spans="3:3">
      <c r="C272" s="1087"/>
    </row>
    <row r="273" spans="3:3">
      <c r="C273" s="1087"/>
    </row>
    <row r="274" spans="3:3">
      <c r="C274" s="1087"/>
    </row>
    <row r="275" spans="3:3">
      <c r="C275" s="1087"/>
    </row>
    <row r="276" spans="3:3">
      <c r="C276" s="1087"/>
    </row>
    <row r="277" spans="3:3">
      <c r="C277" s="1087"/>
    </row>
    <row r="278" spans="3:3">
      <c r="C278" s="1087"/>
    </row>
    <row r="279" spans="3:3">
      <c r="C279" s="1087"/>
    </row>
    <row r="280" spans="3:3">
      <c r="C280" s="1087"/>
    </row>
    <row r="281" spans="3:3">
      <c r="C281" s="1087"/>
    </row>
    <row r="282" spans="3:3">
      <c r="C282" s="1087"/>
    </row>
    <row r="283" spans="3:3">
      <c r="C283" s="1087"/>
    </row>
    <row r="284" spans="3:3">
      <c r="C284" s="1087"/>
    </row>
    <row r="285" spans="3:3">
      <c r="C285" s="1087"/>
    </row>
    <row r="286" spans="3:3">
      <c r="C286" s="1087"/>
    </row>
    <row r="287" spans="3:3">
      <c r="C287" s="1087"/>
    </row>
    <row r="288" spans="3:3">
      <c r="C288" s="1087"/>
    </row>
    <row r="289" spans="3:3">
      <c r="C289" s="1087"/>
    </row>
    <row r="290" spans="3:3">
      <c r="C290" s="1087"/>
    </row>
    <row r="291" spans="3:3">
      <c r="C291" s="1087"/>
    </row>
    <row r="292" spans="3:3">
      <c r="C292" s="1087"/>
    </row>
    <row r="293" spans="3:3">
      <c r="C293" s="1087"/>
    </row>
    <row r="294" spans="3:3">
      <c r="C294" s="1087"/>
    </row>
    <row r="295" spans="3:3">
      <c r="C295" s="1087"/>
    </row>
    <row r="296" spans="3:3">
      <c r="C296" s="1087"/>
    </row>
    <row r="297" spans="3:3">
      <c r="C297" s="1087"/>
    </row>
    <row r="298" spans="3:3">
      <c r="C298" s="1087"/>
    </row>
    <row r="299" spans="3:3">
      <c r="C299" s="1087"/>
    </row>
    <row r="300" spans="3:3">
      <c r="C300" s="1087"/>
    </row>
    <row r="301" spans="3:3">
      <c r="C301" s="1087"/>
    </row>
    <row r="302" spans="3:3">
      <c r="C302" s="1087"/>
    </row>
    <row r="303" spans="3:3">
      <c r="C303" s="1087"/>
    </row>
    <row r="304" spans="3:3">
      <c r="C304" s="1087"/>
    </row>
    <row r="305" spans="3:3">
      <c r="C305" s="1087"/>
    </row>
    <row r="306" spans="3:3">
      <c r="C306" s="1087"/>
    </row>
    <row r="307" spans="3:3">
      <c r="C307" s="1087"/>
    </row>
    <row r="308" spans="3:3">
      <c r="C308" s="1087"/>
    </row>
    <row r="309" spans="3:3">
      <c r="C309" s="1087"/>
    </row>
    <row r="310" spans="3:3">
      <c r="C310" s="1087"/>
    </row>
    <row r="311" spans="3:3">
      <c r="C311" s="1087"/>
    </row>
    <row r="312" spans="3:3">
      <c r="C312" s="1087"/>
    </row>
    <row r="313" spans="3:3">
      <c r="C313" s="1087"/>
    </row>
    <row r="314" spans="3:3">
      <c r="C314" s="1087"/>
    </row>
    <row r="315" spans="3:3">
      <c r="C315" s="1087"/>
    </row>
    <row r="316" spans="3:3">
      <c r="C316" s="1087"/>
    </row>
    <row r="317" spans="3:3">
      <c r="C317" s="1087"/>
    </row>
    <row r="318" spans="3:3">
      <c r="C318" s="1087"/>
    </row>
    <row r="319" spans="3:3">
      <c r="C319" s="1087"/>
    </row>
    <row r="320" spans="3:3">
      <c r="C320" s="1087"/>
    </row>
    <row r="321" spans="3:3">
      <c r="C321" s="1087"/>
    </row>
    <row r="322" spans="3:3">
      <c r="C322" s="1087"/>
    </row>
    <row r="323" spans="3:3">
      <c r="C323" s="1087"/>
    </row>
    <row r="324" spans="3:3">
      <c r="C324" s="1087"/>
    </row>
    <row r="325" spans="3:3">
      <c r="C325" s="1087"/>
    </row>
    <row r="326" spans="3:3">
      <c r="C326" s="1087"/>
    </row>
    <row r="327" spans="3:3">
      <c r="C327" s="1087"/>
    </row>
    <row r="328" spans="3:3">
      <c r="C328" s="1087"/>
    </row>
    <row r="329" spans="3:3">
      <c r="C329" s="1087"/>
    </row>
    <row r="330" spans="3:3">
      <c r="C330" s="1087"/>
    </row>
    <row r="331" spans="3:3">
      <c r="C331" s="1087"/>
    </row>
    <row r="332" spans="3:3">
      <c r="C332" s="1087"/>
    </row>
    <row r="333" spans="3:3">
      <c r="C333" s="1087"/>
    </row>
    <row r="334" spans="3:3">
      <c r="C334" s="1087"/>
    </row>
    <row r="335" spans="3:3">
      <c r="C335" s="1087"/>
    </row>
    <row r="336" spans="3:3">
      <c r="C336" s="1087"/>
    </row>
    <row r="337" spans="3:3">
      <c r="C337" s="1087"/>
    </row>
    <row r="338" spans="3:3">
      <c r="C338" s="1087"/>
    </row>
    <row r="339" spans="3:3">
      <c r="C339" s="1087"/>
    </row>
    <row r="340" spans="3:3">
      <c r="C340" s="1087"/>
    </row>
    <row r="341" spans="3:3">
      <c r="C341" s="1087"/>
    </row>
    <row r="342" spans="3:3">
      <c r="C342" s="1087"/>
    </row>
    <row r="343" spans="3:3">
      <c r="C343" s="1087"/>
    </row>
    <row r="344" spans="3:3">
      <c r="C344" s="1087"/>
    </row>
    <row r="345" spans="3:3">
      <c r="C345" s="1087"/>
    </row>
    <row r="346" spans="3:3">
      <c r="C346" s="1087"/>
    </row>
    <row r="347" spans="3:3">
      <c r="C347" s="1087"/>
    </row>
    <row r="348" spans="3:3">
      <c r="C348" s="1087"/>
    </row>
    <row r="349" spans="3:3">
      <c r="C349" s="1087"/>
    </row>
    <row r="350" spans="3:3">
      <c r="C350" s="1087"/>
    </row>
    <row r="351" spans="3:3">
      <c r="C351" s="1087"/>
    </row>
    <row r="352" spans="3:3">
      <c r="C352" s="1087"/>
    </row>
    <row r="353" spans="3:3">
      <c r="C353" s="1087"/>
    </row>
    <row r="354" spans="3:3">
      <c r="C354" s="1087"/>
    </row>
    <row r="355" spans="3:3">
      <c r="C355" s="1087"/>
    </row>
    <row r="356" spans="3:3">
      <c r="C356" s="1087"/>
    </row>
    <row r="357" spans="3:3">
      <c r="C357" s="1087"/>
    </row>
    <row r="358" spans="3:3">
      <c r="C358" s="1087"/>
    </row>
    <row r="359" spans="3:3">
      <c r="C359" s="1087"/>
    </row>
    <row r="360" spans="3:3">
      <c r="C360" s="1087"/>
    </row>
    <row r="361" spans="3:3">
      <c r="C361" s="1087"/>
    </row>
    <row r="362" spans="3:3">
      <c r="C362" s="1087"/>
    </row>
    <row r="363" spans="3:3">
      <c r="C363" s="1087"/>
    </row>
    <row r="364" spans="3:3">
      <c r="C364" s="1087"/>
    </row>
    <row r="365" spans="3:3">
      <c r="C365" s="1087"/>
    </row>
    <row r="366" spans="3:3">
      <c r="C366" s="1087"/>
    </row>
    <row r="367" spans="3:3">
      <c r="C367" s="1087"/>
    </row>
    <row r="368" spans="3:3">
      <c r="C368" s="1087"/>
    </row>
    <row r="369" spans="3:3">
      <c r="C369" s="1087"/>
    </row>
    <row r="370" spans="3:3">
      <c r="C370" s="1087"/>
    </row>
    <row r="371" spans="3:3">
      <c r="C371" s="1087"/>
    </row>
    <row r="372" spans="3:3">
      <c r="C372" s="1087"/>
    </row>
    <row r="373" spans="3:3">
      <c r="C373" s="1087"/>
    </row>
    <row r="374" spans="3:3">
      <c r="C374" s="1087"/>
    </row>
    <row r="375" spans="3:3">
      <c r="C375" s="1087"/>
    </row>
    <row r="376" spans="3:3">
      <c r="C376" s="1087"/>
    </row>
    <row r="377" spans="3:3">
      <c r="C377" s="1087"/>
    </row>
    <row r="378" spans="3:3">
      <c r="C378" s="1087"/>
    </row>
    <row r="379" spans="3:3">
      <c r="C379" s="1087"/>
    </row>
    <row r="380" spans="3:3">
      <c r="C380" s="1087"/>
    </row>
    <row r="381" spans="3:3">
      <c r="C381" s="1087"/>
    </row>
    <row r="382" spans="3:3">
      <c r="C382" s="1087"/>
    </row>
    <row r="383" spans="3:3">
      <c r="C383" s="1087"/>
    </row>
    <row r="384" spans="3:3">
      <c r="C384" s="1087"/>
    </row>
    <row r="385" spans="3:3">
      <c r="C385" s="1087"/>
    </row>
    <row r="386" spans="3:3">
      <c r="C386" s="1087"/>
    </row>
    <row r="387" spans="3:3">
      <c r="C387" s="1087"/>
    </row>
    <row r="388" spans="3:3">
      <c r="C388" s="1087"/>
    </row>
    <row r="389" spans="3:3">
      <c r="C389" s="1087"/>
    </row>
    <row r="390" spans="3:3">
      <c r="C390" s="1087"/>
    </row>
    <row r="391" spans="3:3">
      <c r="C391" s="1087"/>
    </row>
    <row r="392" spans="3:3">
      <c r="C392" s="1087"/>
    </row>
    <row r="393" spans="3:3">
      <c r="C393" s="1087"/>
    </row>
    <row r="394" spans="3:3">
      <c r="C394" s="1087"/>
    </row>
    <row r="395" spans="3:3">
      <c r="C395" s="1087"/>
    </row>
    <row r="396" spans="3:3">
      <c r="C396" s="1087"/>
    </row>
    <row r="397" spans="3:3">
      <c r="C397" s="1087"/>
    </row>
    <row r="398" spans="3:3">
      <c r="C398" s="1087"/>
    </row>
    <row r="399" spans="3:3">
      <c r="C399" s="1087"/>
    </row>
    <row r="400" spans="3:3">
      <c r="C400" s="1087"/>
    </row>
    <row r="401" spans="3:3">
      <c r="C401" s="1087"/>
    </row>
    <row r="402" spans="3:3">
      <c r="C402" s="1087"/>
    </row>
    <row r="403" spans="3:3">
      <c r="C403" s="1087"/>
    </row>
    <row r="404" spans="3:3">
      <c r="C404" s="1087"/>
    </row>
    <row r="405" spans="3:3">
      <c r="C405" s="1087"/>
    </row>
    <row r="406" spans="3:3">
      <c r="C406" s="1087"/>
    </row>
    <row r="407" spans="3:3">
      <c r="C407" s="1087"/>
    </row>
    <row r="408" spans="3:3">
      <c r="C408" s="1087"/>
    </row>
    <row r="409" spans="3:3">
      <c r="C409" s="1087"/>
    </row>
    <row r="410" spans="3:3">
      <c r="C410" s="1087"/>
    </row>
    <row r="411" spans="3:3">
      <c r="C411" s="1087"/>
    </row>
    <row r="412" spans="3:3">
      <c r="C412" s="1087"/>
    </row>
    <row r="413" spans="3:3">
      <c r="C413" s="1087"/>
    </row>
    <row r="414" spans="3:3">
      <c r="C414" s="1087"/>
    </row>
    <row r="415" spans="3:3">
      <c r="C415" s="1087"/>
    </row>
    <row r="416" spans="3:3">
      <c r="C416" s="1087"/>
    </row>
    <row r="417" spans="3:3">
      <c r="C417" s="1087"/>
    </row>
    <row r="418" spans="3:3">
      <c r="C418" s="1087"/>
    </row>
    <row r="419" spans="3:3">
      <c r="C419" s="1087"/>
    </row>
    <row r="420" spans="3:3">
      <c r="C420" s="1087"/>
    </row>
    <row r="421" spans="3:3">
      <c r="C421" s="1087"/>
    </row>
    <row r="422" spans="3:3">
      <c r="C422" s="1087"/>
    </row>
    <row r="423" spans="3:3">
      <c r="C423" s="1087"/>
    </row>
    <row r="424" spans="3:3">
      <c r="C424" s="1087"/>
    </row>
    <row r="425" spans="3:3">
      <c r="C425" s="1087"/>
    </row>
    <row r="426" spans="3:3">
      <c r="C426" s="1087"/>
    </row>
    <row r="427" spans="3:3">
      <c r="C427" s="1087"/>
    </row>
    <row r="428" spans="3:3">
      <c r="C428" s="1087"/>
    </row>
    <row r="429" spans="3:3">
      <c r="C429" s="1087"/>
    </row>
    <row r="430" spans="3:3">
      <c r="C430" s="1087"/>
    </row>
    <row r="431" spans="3:3">
      <c r="C431" s="1087"/>
    </row>
    <row r="432" spans="3:3">
      <c r="C432" s="1087"/>
    </row>
    <row r="433" spans="3:3">
      <c r="C433" s="1087"/>
    </row>
    <row r="434" spans="3:3">
      <c r="C434" s="1087"/>
    </row>
    <row r="435" spans="3:3">
      <c r="C435" s="1087"/>
    </row>
    <row r="436" spans="3:3">
      <c r="C436" s="1087"/>
    </row>
    <row r="437" spans="3:3">
      <c r="C437" s="1087"/>
    </row>
    <row r="438" spans="3:3">
      <c r="C438" s="1087"/>
    </row>
    <row r="439" spans="3:3">
      <c r="C439" s="1087"/>
    </row>
    <row r="440" spans="3:3">
      <c r="C440" s="1087"/>
    </row>
    <row r="441" spans="3:3">
      <c r="C441" s="1087"/>
    </row>
    <row r="442" spans="3:3">
      <c r="C442" s="1087"/>
    </row>
    <row r="443" spans="3:3">
      <c r="C443" s="1087"/>
    </row>
    <row r="444" spans="3:3">
      <c r="C444" s="1087"/>
    </row>
    <row r="445" spans="3:3">
      <c r="C445" s="1087"/>
    </row>
    <row r="446" spans="3:3">
      <c r="C446" s="1087"/>
    </row>
    <row r="447" spans="3:3">
      <c r="C447" s="1087"/>
    </row>
    <row r="448" spans="3:3">
      <c r="C448" s="1087"/>
    </row>
    <row r="449" spans="3:3">
      <c r="C449" s="1087"/>
    </row>
    <row r="450" spans="3:3">
      <c r="C450" s="1087"/>
    </row>
    <row r="451" spans="3:3">
      <c r="C451" s="1087"/>
    </row>
    <row r="452" spans="3:3">
      <c r="C452" s="1087"/>
    </row>
    <row r="453" spans="3:3">
      <c r="C453" s="1087"/>
    </row>
    <row r="454" spans="3:3">
      <c r="C454" s="1087"/>
    </row>
    <row r="455" spans="3:3">
      <c r="C455" s="1087"/>
    </row>
    <row r="456" spans="3:3">
      <c r="C456" s="1087"/>
    </row>
    <row r="457" spans="3:3">
      <c r="C457" s="1087"/>
    </row>
    <row r="458" spans="3:3">
      <c r="C458" s="1087"/>
    </row>
    <row r="459" spans="3:3">
      <c r="C459" s="1087"/>
    </row>
    <row r="460" spans="3:3">
      <c r="C460" s="1087"/>
    </row>
    <row r="461" spans="3:3">
      <c r="C461" s="1087"/>
    </row>
    <row r="462" spans="3:3">
      <c r="C462" s="1087"/>
    </row>
    <row r="463" spans="3:3">
      <c r="C463" s="1087"/>
    </row>
    <row r="464" spans="3:3">
      <c r="C464" s="1087"/>
    </row>
    <row r="465" spans="3:3">
      <c r="C465" s="1087"/>
    </row>
    <row r="466" spans="3:3">
      <c r="C466" s="1087"/>
    </row>
    <row r="467" spans="3:3">
      <c r="C467" s="1087"/>
    </row>
    <row r="468" spans="3:3">
      <c r="C468" s="1087"/>
    </row>
    <row r="469" spans="3:3">
      <c r="C469" s="1087"/>
    </row>
    <row r="470" spans="3:3">
      <c r="C470" s="1087"/>
    </row>
    <row r="471" spans="3:3">
      <c r="C471" s="1087"/>
    </row>
    <row r="472" spans="3:3">
      <c r="C472" s="1087"/>
    </row>
    <row r="473" spans="3:3">
      <c r="C473" s="1087"/>
    </row>
    <row r="474" spans="3:3">
      <c r="C474" s="1087"/>
    </row>
    <row r="475" spans="3:3">
      <c r="C475" s="1087"/>
    </row>
    <row r="476" spans="3:3">
      <c r="C476" s="1087"/>
    </row>
    <row r="477" spans="3:3">
      <c r="C477" s="1087"/>
    </row>
    <row r="478" spans="3:3">
      <c r="C478" s="1087"/>
    </row>
    <row r="479" spans="3:3">
      <c r="C479" s="1087"/>
    </row>
    <row r="480" spans="3:3">
      <c r="C480" s="1087"/>
    </row>
    <row r="481" spans="3:3">
      <c r="C481" s="1087"/>
    </row>
    <row r="482" spans="3:3">
      <c r="C482" s="1087"/>
    </row>
    <row r="483" spans="3:3">
      <c r="C483" s="1087"/>
    </row>
    <row r="484" spans="3:3">
      <c r="C484" s="1087"/>
    </row>
    <row r="485" spans="3:3">
      <c r="C485" s="1087"/>
    </row>
    <row r="486" spans="3:3">
      <c r="C486" s="1087"/>
    </row>
    <row r="487" spans="3:3">
      <c r="C487" s="1087"/>
    </row>
    <row r="488" spans="3:3">
      <c r="C488" s="1087"/>
    </row>
    <row r="489" spans="3:3">
      <c r="C489" s="1087"/>
    </row>
    <row r="490" spans="3:3">
      <c r="C490" s="1087"/>
    </row>
    <row r="491" spans="3:3">
      <c r="C491" s="1087"/>
    </row>
    <row r="492" spans="3:3">
      <c r="C492" s="1087"/>
    </row>
    <row r="493" spans="3:3">
      <c r="C493" s="1087"/>
    </row>
    <row r="494" spans="3:3">
      <c r="C494" s="1087"/>
    </row>
    <row r="495" spans="3:3">
      <c r="C495" s="1087"/>
    </row>
    <row r="496" spans="3:3">
      <c r="C496" s="1087"/>
    </row>
    <row r="497" spans="3:3">
      <c r="C497" s="1087"/>
    </row>
    <row r="498" spans="3:3">
      <c r="C498" s="1087"/>
    </row>
    <row r="499" spans="3:3">
      <c r="C499" s="1087"/>
    </row>
    <row r="500" spans="3:3">
      <c r="C500" s="1087"/>
    </row>
    <row r="501" spans="3:3">
      <c r="C501" s="1087"/>
    </row>
    <row r="502" spans="3:3">
      <c r="C502" s="1087"/>
    </row>
    <row r="503" spans="3:3">
      <c r="C503" s="1087"/>
    </row>
    <row r="504" spans="3:3">
      <c r="C504" s="1087"/>
    </row>
    <row r="505" spans="3:3">
      <c r="C505" s="1087"/>
    </row>
    <row r="506" spans="3:3">
      <c r="C506" s="1087"/>
    </row>
    <row r="507" spans="3:3">
      <c r="C507" s="1087"/>
    </row>
    <row r="508" spans="3:3">
      <c r="C508" s="1087"/>
    </row>
    <row r="509" spans="3:3">
      <c r="C509" s="1087"/>
    </row>
    <row r="510" spans="3:3">
      <c r="C510" s="1087"/>
    </row>
    <row r="511" spans="3:3">
      <c r="C511" s="1087"/>
    </row>
    <row r="512" spans="3:3">
      <c r="C512" s="1087"/>
    </row>
    <row r="513" spans="3:3">
      <c r="C513" s="1087"/>
    </row>
    <row r="514" spans="3:3">
      <c r="C514" s="1087"/>
    </row>
    <row r="515" spans="3:3">
      <c r="C515" s="1087"/>
    </row>
    <row r="516" spans="3:3">
      <c r="C516" s="1087"/>
    </row>
    <row r="517" spans="3:3">
      <c r="C517" s="1087"/>
    </row>
    <row r="518" spans="3:3">
      <c r="C518" s="1087"/>
    </row>
    <row r="519" spans="3:3">
      <c r="C519" s="1087"/>
    </row>
    <row r="520" spans="3:3">
      <c r="C520" s="1087"/>
    </row>
    <row r="521" spans="3:3">
      <c r="C521" s="1087"/>
    </row>
    <row r="522" spans="3:3">
      <c r="C522" s="1087"/>
    </row>
    <row r="523" spans="3:3">
      <c r="C523" s="1087"/>
    </row>
    <row r="524" spans="3:3">
      <c r="C524" s="1087"/>
    </row>
    <row r="525" spans="3:3">
      <c r="C525" s="1087"/>
    </row>
    <row r="526" spans="3:3">
      <c r="C526" s="1087"/>
    </row>
    <row r="527" spans="3:3">
      <c r="C527" s="1087"/>
    </row>
    <row r="528" spans="3:3">
      <c r="C528" s="1087"/>
    </row>
    <row r="529" spans="3:3">
      <c r="C529" s="1087"/>
    </row>
    <row r="530" spans="3:3">
      <c r="C530" s="1087"/>
    </row>
    <row r="531" spans="3:3">
      <c r="C531" s="1087"/>
    </row>
    <row r="532" spans="3:3">
      <c r="C532" s="1087"/>
    </row>
    <row r="533" spans="3:3">
      <c r="C533" s="1087"/>
    </row>
    <row r="534" spans="3:3">
      <c r="C534" s="1087"/>
    </row>
    <row r="535" spans="3:3">
      <c r="C535" s="1087"/>
    </row>
    <row r="536" spans="3:3">
      <c r="C536" s="1087"/>
    </row>
    <row r="537" spans="3:3">
      <c r="C537" s="1087"/>
    </row>
    <row r="538" spans="3:3">
      <c r="C538" s="1087"/>
    </row>
    <row r="539" spans="3:3">
      <c r="C539" s="1087"/>
    </row>
    <row r="540" spans="3:3">
      <c r="C540" s="1087"/>
    </row>
    <row r="541" spans="3:3">
      <c r="C541" s="1087"/>
    </row>
    <row r="542" spans="3:3">
      <c r="C542" s="1087"/>
    </row>
    <row r="543" spans="3:3">
      <c r="C543" s="1087"/>
    </row>
    <row r="544" spans="3:3">
      <c r="C544" s="1087"/>
    </row>
    <row r="545" spans="3:3">
      <c r="C545" s="1087"/>
    </row>
    <row r="546" spans="3:3">
      <c r="C546" s="1087"/>
    </row>
    <row r="547" spans="3:3">
      <c r="C547" s="1087"/>
    </row>
    <row r="548" spans="3:3">
      <c r="C548" s="1087"/>
    </row>
    <row r="549" spans="3:3">
      <c r="C549" s="1087"/>
    </row>
  </sheetData>
  <sheetProtection selectLockedCells="1"/>
  <mergeCells count="12">
    <mergeCell ref="J33:L33"/>
    <mergeCell ref="M33:O33"/>
    <mergeCell ref="A31:O31"/>
    <mergeCell ref="A9:O9"/>
    <mergeCell ref="K1:P1"/>
    <mergeCell ref="B1:G1"/>
    <mergeCell ref="D32:E32"/>
    <mergeCell ref="D10:E10"/>
    <mergeCell ref="B33:D33"/>
    <mergeCell ref="E33:F33"/>
    <mergeCell ref="G33:I33"/>
    <mergeCell ref="P33:R3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E4A95-F6F4-4631-BD7D-C3F6D1D184D7}">
  <sheetPr>
    <tabColor rgb="FFFF0000"/>
  </sheetPr>
  <dimension ref="A1:D12"/>
  <sheetViews>
    <sheetView topLeftCell="A11" workbookViewId="0">
      <selection activeCell="D12" sqref="D12"/>
    </sheetView>
  </sheetViews>
  <sheetFormatPr baseColWidth="10" defaultRowHeight="15"/>
  <cols>
    <col min="1" max="1" width="23.42578125" style="1265" customWidth="1"/>
    <col min="2" max="2" width="42" style="209" customWidth="1"/>
    <col min="3" max="3" width="37.5703125" style="1265" customWidth="1"/>
    <col min="4" max="4" width="11.42578125" style="209"/>
  </cols>
  <sheetData>
    <row r="1" spans="1:4">
      <c r="A1" s="2164" t="s">
        <v>2439</v>
      </c>
      <c r="B1" s="2165" t="s">
        <v>2440</v>
      </c>
      <c r="C1" s="2164" t="s">
        <v>2446</v>
      </c>
      <c r="D1" s="2165" t="s">
        <v>2441</v>
      </c>
    </row>
    <row r="2" spans="1:4" ht="75">
      <c r="A2" s="1590" t="s">
        <v>2431</v>
      </c>
      <c r="B2" s="1548" t="s">
        <v>2432</v>
      </c>
      <c r="C2" s="1265" t="s">
        <v>2447</v>
      </c>
      <c r="D2" s="2166" t="s">
        <v>2445</v>
      </c>
    </row>
    <row r="3" spans="1:4" ht="30">
      <c r="A3" s="1590" t="s">
        <v>63</v>
      </c>
      <c r="B3" s="1548" t="s">
        <v>2434</v>
      </c>
      <c r="C3" s="2167" t="s">
        <v>2464</v>
      </c>
      <c r="D3" s="2166" t="s">
        <v>2445</v>
      </c>
    </row>
    <row r="4" spans="1:4" ht="60">
      <c r="A4" s="2163" t="s">
        <v>2433</v>
      </c>
      <c r="B4" s="1548" t="s">
        <v>2435</v>
      </c>
      <c r="C4" s="2167" t="s">
        <v>2442</v>
      </c>
      <c r="D4" s="2166" t="s">
        <v>2445</v>
      </c>
    </row>
    <row r="5" spans="1:4" ht="60">
      <c r="A5" s="2163"/>
      <c r="B5" s="1548" t="s">
        <v>2443</v>
      </c>
      <c r="C5" s="2167" t="s">
        <v>2444</v>
      </c>
      <c r="D5" s="2166" t="s">
        <v>2445</v>
      </c>
    </row>
    <row r="6" spans="1:4" ht="60">
      <c r="A6" s="2163"/>
      <c r="B6" s="1548" t="s">
        <v>2434</v>
      </c>
      <c r="C6" s="2167" t="s">
        <v>2463</v>
      </c>
      <c r="D6" s="2166" t="s">
        <v>2445</v>
      </c>
    </row>
    <row r="7" spans="1:4" ht="75">
      <c r="A7" s="1590" t="s">
        <v>94</v>
      </c>
      <c r="B7" s="1548" t="s">
        <v>2436</v>
      </c>
      <c r="C7" s="2167" t="s">
        <v>2466</v>
      </c>
      <c r="D7" s="2166" t="s">
        <v>2445</v>
      </c>
    </row>
    <row r="8" spans="1:4" ht="45">
      <c r="A8" s="1590" t="s">
        <v>2437</v>
      </c>
      <c r="B8" s="1548" t="s">
        <v>2438</v>
      </c>
      <c r="C8" s="2167" t="s">
        <v>2467</v>
      </c>
      <c r="D8" s="2166" t="s">
        <v>2445</v>
      </c>
    </row>
    <row r="9" spans="1:4" ht="60">
      <c r="A9" s="1590" t="s">
        <v>2437</v>
      </c>
      <c r="B9" s="1548" t="s">
        <v>2465</v>
      </c>
      <c r="C9" s="1265" t="s">
        <v>2450</v>
      </c>
      <c r="D9" s="2166" t="s">
        <v>2445</v>
      </c>
    </row>
    <row r="10" spans="1:4" ht="75">
      <c r="A10" s="1590" t="s">
        <v>2437</v>
      </c>
      <c r="B10" s="1548" t="s">
        <v>2468</v>
      </c>
      <c r="C10" s="1265" t="s">
        <v>2469</v>
      </c>
      <c r="D10" s="2166" t="s">
        <v>2445</v>
      </c>
    </row>
    <row r="11" spans="1:4" ht="75">
      <c r="A11" s="2160" t="s">
        <v>2470</v>
      </c>
      <c r="B11" s="2161" t="s">
        <v>2468</v>
      </c>
      <c r="C11" s="1265" t="s">
        <v>2469</v>
      </c>
      <c r="D11" s="2166" t="s">
        <v>2445</v>
      </c>
    </row>
    <row r="12" spans="1:4" ht="30">
      <c r="A12" s="2160" t="s">
        <v>143</v>
      </c>
      <c r="B12" s="2162" t="s">
        <v>2471</v>
      </c>
      <c r="C12" s="2167" t="s">
        <v>2472</v>
      </c>
      <c r="D12" s="2166" t="s">
        <v>2445</v>
      </c>
    </row>
  </sheetData>
  <mergeCells count="1">
    <mergeCell ref="A4:A6"/>
  </mergeCells>
  <hyperlinks>
    <hyperlink ref="D3" location="'Emission Factors'!C5" display="Realizado" xr:uid="{996DCB63-6599-496A-A56F-08A0DFBA7D17}"/>
    <hyperlink ref="D2" location="Mobile!A166" display="Realizado" xr:uid="{28E2AA81-F150-4DFE-BE17-D0E6A917EA59}"/>
    <hyperlink ref="D4" location="'Fugitive (refrigerants)'!E233" display="Realizado" xr:uid="{49E0FF06-E0D3-42D0-B82A-3B9129F20399}"/>
    <hyperlink ref="D5" location="'Fugitive (refrigerants)'!E226" display="Realizado" xr:uid="{06DB5B23-9106-4897-91BB-E98608FCF207}"/>
    <hyperlink ref="D6" location="'Emission Factors'!A135" display="Realizado" xr:uid="{E4E14B95-0190-4DDC-BC1E-B19358046280}"/>
    <hyperlink ref="D7" location="Packaging!B45" display="Realizado" xr:uid="{6A1BD5E9-7E85-444B-9681-F48FA7CCF828}"/>
    <hyperlink ref="D8" location="'Offsite Waste'!P35" display="Realizado" xr:uid="{C8A7909A-255F-46A3-9122-82B760014FBC}"/>
    <hyperlink ref="D9" location="'Offsite Waste'!C34" display="Realizado" xr:uid="{A4ADD37E-E486-4D47-828C-FCA580F26A2D}"/>
    <hyperlink ref="D10" location="'Offsite Waste'!E12" display="Realizado" xr:uid="{C375B3F9-83FD-43EE-82B2-A3152F8F99D7}"/>
    <hyperlink ref="D11" location="'Onsite Waste'!E16" display="Realizado" xr:uid="{B4CB810D-01C9-435B-B5CC-DF9017B4EDE6}"/>
    <hyperlink ref="D12" location="'Product Transport'!A107" display="Realizado" xr:uid="{089C3136-C55A-44DB-A23E-D19D5D85991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D778-8893-4DE1-8446-34DDB3BF5D58}">
  <sheetPr>
    <tabColor rgb="FF009999"/>
  </sheetPr>
  <dimension ref="A1:L17"/>
  <sheetViews>
    <sheetView zoomScale="80" zoomScaleNormal="80" workbookViewId="0">
      <selection activeCell="E14" sqref="E14"/>
    </sheetView>
  </sheetViews>
  <sheetFormatPr baseColWidth="10" defaultColWidth="8.85546875" defaultRowHeight="15"/>
  <cols>
    <col min="1" max="1" width="18.7109375" style="765" customWidth="1"/>
    <col min="2" max="2" width="13" style="765" bestFit="1" customWidth="1"/>
    <col min="3" max="3" width="15.5703125" style="765" bestFit="1" customWidth="1"/>
    <col min="4" max="4" width="14" style="765" bestFit="1" customWidth="1"/>
    <col min="5" max="5" width="20.85546875" style="765" customWidth="1"/>
    <col min="6" max="7" width="14" style="765" bestFit="1" customWidth="1"/>
    <col min="8" max="8" width="16.7109375" style="765" customWidth="1"/>
    <col min="9" max="9" width="12.5703125" style="765" bestFit="1" customWidth="1"/>
    <col min="10" max="10" width="16.85546875" style="765" bestFit="1" customWidth="1"/>
    <col min="11" max="11" width="14.28515625" style="765" bestFit="1" customWidth="1"/>
    <col min="12" max="12" width="14.85546875" style="765" bestFit="1" customWidth="1"/>
    <col min="13" max="13" width="13" style="765" bestFit="1" customWidth="1"/>
    <col min="14" max="14" width="13.140625" style="765" customWidth="1"/>
    <col min="15" max="15" width="15" style="765" customWidth="1"/>
    <col min="16" max="16384" width="8.85546875" style="765"/>
  </cols>
  <sheetData>
    <row r="1" spans="1:12" ht="49.5" customHeight="1" thickBot="1">
      <c r="A1" s="1093" t="s">
        <v>147</v>
      </c>
      <c r="B1" s="2116" t="s">
        <v>1055</v>
      </c>
      <c r="C1" s="2111"/>
      <c r="D1" s="2111"/>
      <c r="E1" s="2112"/>
      <c r="G1" s="2001" t="s">
        <v>414</v>
      </c>
      <c r="H1" s="2002"/>
      <c r="I1" s="2002"/>
      <c r="J1" s="2002"/>
      <c r="K1" s="2002"/>
      <c r="L1" s="2003"/>
    </row>
    <row r="2" spans="1:12">
      <c r="B2" s="839"/>
      <c r="C2" s="1086"/>
      <c r="D2" s="1087"/>
      <c r="G2" s="906" t="s">
        <v>415</v>
      </c>
      <c r="H2" s="907"/>
      <c r="I2" s="908" t="s">
        <v>416</v>
      </c>
      <c r="J2" s="909"/>
      <c r="K2" s="908" t="s">
        <v>417</v>
      </c>
      <c r="L2" s="910"/>
    </row>
    <row r="3" spans="1:12">
      <c r="B3" s="839"/>
      <c r="C3" s="1086"/>
      <c r="D3" s="1087"/>
    </row>
    <row r="4" spans="1:12" ht="45">
      <c r="A4" s="885"/>
      <c r="B4" s="828" t="s">
        <v>553</v>
      </c>
      <c r="C4" s="1086"/>
      <c r="D4" s="1087"/>
    </row>
    <row r="5" spans="1:12" ht="18.75">
      <c r="A5" s="828" t="s">
        <v>1056</v>
      </c>
      <c r="B5" s="886">
        <f>K12</f>
        <v>0</v>
      </c>
      <c r="C5" s="1086"/>
      <c r="D5" s="1087"/>
    </row>
    <row r="6" spans="1:12" ht="18.75">
      <c r="A6" s="828" t="s">
        <v>1057</v>
      </c>
      <c r="B6" s="886">
        <f>K13</f>
        <v>0</v>
      </c>
      <c r="C6" s="1087"/>
      <c r="D6" s="1087"/>
    </row>
    <row r="7" spans="1:12" ht="18.75">
      <c r="A7" s="828" t="s">
        <v>424</v>
      </c>
      <c r="B7" s="886">
        <f>SUM(B5:B6)</f>
        <v>0</v>
      </c>
    </row>
    <row r="8" spans="1:12" ht="18.75">
      <c r="A8" s="1094"/>
      <c r="C8" s="1086"/>
      <c r="D8" s="1087"/>
      <c r="E8" s="1090"/>
      <c r="F8" s="839"/>
      <c r="G8" s="1090"/>
      <c r="H8" s="1090"/>
      <c r="I8" s="1090"/>
      <c r="J8" s="1090"/>
      <c r="K8" s="1090"/>
    </row>
    <row r="9" spans="1:12">
      <c r="C9" s="1095"/>
      <c r="D9" s="1087"/>
    </row>
    <row r="10" spans="1:12" s="743" customFormat="1" ht="21" customHeight="1" thickBot="1">
      <c r="A10" s="675"/>
      <c r="B10" s="675"/>
      <c r="C10" s="675"/>
      <c r="D10" s="675"/>
      <c r="E10" s="675"/>
      <c r="F10" s="675"/>
      <c r="G10" s="2007" t="s">
        <v>427</v>
      </c>
      <c r="H10" s="2008"/>
    </row>
    <row r="11" spans="1:12" ht="60">
      <c r="A11" s="828" t="s">
        <v>1058</v>
      </c>
      <c r="B11" s="828" t="s">
        <v>1059</v>
      </c>
      <c r="C11" s="1096" t="s">
        <v>762</v>
      </c>
      <c r="D11" s="828" t="s">
        <v>1060</v>
      </c>
      <c r="E11" s="828" t="s">
        <v>1061</v>
      </c>
      <c r="F11" s="828" t="s">
        <v>1062</v>
      </c>
      <c r="G11" s="828" t="s">
        <v>1063</v>
      </c>
      <c r="H11" s="1097" t="s">
        <v>1064</v>
      </c>
      <c r="I11" s="828" t="s">
        <v>1065</v>
      </c>
      <c r="J11" s="829" t="s">
        <v>1066</v>
      </c>
      <c r="K11" s="830" t="s">
        <v>702</v>
      </c>
    </row>
    <row r="12" spans="1:12">
      <c r="A12" s="828" t="s">
        <v>1056</v>
      </c>
      <c r="B12" s="1424"/>
      <c r="C12" s="1098"/>
      <c r="D12" s="850">
        <f>B12*C12</f>
        <v>0</v>
      </c>
      <c r="E12" s="850">
        <f>D12*5%</f>
        <v>0</v>
      </c>
      <c r="F12" s="850">
        <f>D12-E12</f>
        <v>0</v>
      </c>
      <c r="G12" s="1099">
        <f>E12/1000</f>
        <v>0</v>
      </c>
      <c r="H12" s="1099">
        <f>(G12*1.10231)*'Emission Factors'!$F$639</f>
        <v>0</v>
      </c>
      <c r="I12" s="1099">
        <f>F12/1000</f>
        <v>0</v>
      </c>
      <c r="J12" s="853">
        <f>(I12*1.10231)*'Emission Factors'!$G$639</f>
        <v>0</v>
      </c>
      <c r="K12" s="1100">
        <f>H12+J12</f>
        <v>0</v>
      </c>
    </row>
    <row r="13" spans="1:12" ht="15.75" thickBot="1">
      <c r="A13" s="828" t="s">
        <v>1057</v>
      </c>
      <c r="B13" s="1098"/>
      <c r="C13" s="1098"/>
      <c r="D13" s="850">
        <f>B13*C13</f>
        <v>0</v>
      </c>
      <c r="E13" s="850">
        <f>D13*35%</f>
        <v>0</v>
      </c>
      <c r="F13" s="850">
        <f>D13-E13</f>
        <v>0</v>
      </c>
      <c r="G13" s="1099">
        <f>E13/1000</f>
        <v>0</v>
      </c>
      <c r="H13" s="1099">
        <f>(G13*1.10231)*'Emission Factors'!$F$639</f>
        <v>0</v>
      </c>
      <c r="I13" s="1099">
        <f>F13/1000</f>
        <v>0</v>
      </c>
      <c r="J13" s="853">
        <f>(I13*1.10231)*'Emission Factors'!$G$639</f>
        <v>0</v>
      </c>
      <c r="K13" s="1101">
        <f>H13+J13</f>
        <v>0</v>
      </c>
    </row>
    <row r="14" spans="1:12">
      <c r="A14" s="707" t="s">
        <v>2420</v>
      </c>
    </row>
    <row r="15" spans="1:12">
      <c r="A15" s="707" t="s">
        <v>2421</v>
      </c>
    </row>
    <row r="16" spans="1:12">
      <c r="A16" s="707" t="s">
        <v>2422</v>
      </c>
    </row>
    <row r="17" spans="1:1">
      <c r="A17" s="765" t="s">
        <v>2423</v>
      </c>
    </row>
  </sheetData>
  <sheetProtection selectLockedCells="1"/>
  <mergeCells count="3">
    <mergeCell ref="G1:L1"/>
    <mergeCell ref="G10:H10"/>
    <mergeCell ref="B1:E1"/>
  </mergeCells>
  <phoneticPr fontId="38" type="noConversion"/>
  <pageMargins left="0.7" right="0.7" top="0.75" bottom="0.75" header="0.3" footer="0.3"/>
  <pageSetup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9999"/>
  </sheetPr>
  <dimension ref="A1:V519"/>
  <sheetViews>
    <sheetView topLeftCell="A49" zoomScale="70" zoomScaleNormal="70" workbookViewId="0">
      <selection activeCell="B23" sqref="B23"/>
    </sheetView>
  </sheetViews>
  <sheetFormatPr baseColWidth="10" defaultColWidth="8.85546875" defaultRowHeight="15.75"/>
  <cols>
    <col min="1" max="1" width="46.140625" style="694" customWidth="1"/>
    <col min="2" max="2" width="26.140625" style="694" bestFit="1" customWidth="1"/>
    <col min="3" max="3" width="23.7109375" style="694" bestFit="1" customWidth="1"/>
    <col min="4" max="4" width="19.140625" style="694" bestFit="1" customWidth="1"/>
    <col min="5" max="5" width="17.85546875" style="694" bestFit="1" customWidth="1"/>
    <col min="6" max="6" width="17.85546875" style="1026" bestFit="1" customWidth="1"/>
    <col min="7" max="7" width="16.42578125" style="694" bestFit="1" customWidth="1"/>
    <col min="8" max="8" width="21.28515625" style="711" customWidth="1"/>
    <col min="9" max="9" width="16.28515625" style="711" customWidth="1"/>
    <col min="10" max="10" width="12.42578125" style="694" customWidth="1"/>
    <col min="11" max="11" width="12.85546875" style="694" customWidth="1"/>
    <col min="12" max="12" width="14.85546875" style="695" customWidth="1"/>
    <col min="13" max="13" width="14.42578125" style="695" customWidth="1"/>
    <col min="14" max="14" width="15.42578125" style="695" customWidth="1"/>
    <col min="15" max="15" width="15.140625" style="695" customWidth="1"/>
    <col min="16" max="16" width="14.42578125" style="695" customWidth="1"/>
    <col min="17" max="17" width="15.28515625" style="695" customWidth="1"/>
    <col min="18" max="18" width="14.42578125" style="696" customWidth="1"/>
    <col min="19" max="19" width="12.42578125" style="695" customWidth="1"/>
    <col min="20" max="20" width="9.140625" style="695"/>
    <col min="21" max="21" width="12" style="695" customWidth="1"/>
    <col min="22" max="16384" width="8.85546875" style="694"/>
  </cols>
  <sheetData>
    <row r="1" spans="1:21" ht="51.75" customHeight="1" thickBot="1">
      <c r="A1" s="1102" t="s">
        <v>133</v>
      </c>
      <c r="B1" s="2045" t="s">
        <v>1067</v>
      </c>
      <c r="C1" s="2022"/>
      <c r="D1" s="2022"/>
      <c r="E1" s="2023"/>
      <c r="H1" s="2030" t="s">
        <v>414</v>
      </c>
      <c r="I1" s="2031"/>
      <c r="J1" s="2031"/>
      <c r="K1" s="2031"/>
      <c r="L1" s="2031"/>
      <c r="M1" s="2032"/>
    </row>
    <row r="2" spans="1:21" ht="34.5" customHeight="1">
      <c r="A2" s="738"/>
      <c r="B2" s="710"/>
      <c r="H2" s="733" t="s">
        <v>415</v>
      </c>
      <c r="I2" s="734"/>
      <c r="J2" s="735" t="s">
        <v>416</v>
      </c>
      <c r="K2" s="1103"/>
      <c r="L2" s="735" t="s">
        <v>417</v>
      </c>
      <c r="M2" s="1104"/>
    </row>
    <row r="3" spans="1:21" ht="37.5">
      <c r="A3" s="738"/>
      <c r="B3" s="692" t="s">
        <v>547</v>
      </c>
      <c r="C3" s="711"/>
      <c r="D3" s="711"/>
      <c r="G3" s="695"/>
      <c r="H3" s="712"/>
      <c r="I3" s="712"/>
      <c r="J3" s="712"/>
      <c r="K3" s="712"/>
      <c r="L3" s="712"/>
      <c r="M3" s="712"/>
      <c r="Q3" s="694"/>
      <c r="R3" s="694"/>
      <c r="S3" s="694"/>
      <c r="T3" s="694"/>
      <c r="U3" s="694"/>
    </row>
    <row r="4" spans="1:21" ht="18.75">
      <c r="A4" s="692" t="s">
        <v>161</v>
      </c>
      <c r="B4" s="739">
        <f>SUM(I16,H23,C30:C38)</f>
        <v>0</v>
      </c>
      <c r="C4" s="711"/>
      <c r="D4" s="711"/>
      <c r="H4" s="694"/>
      <c r="I4" s="694"/>
      <c r="L4" s="694"/>
      <c r="M4" s="694"/>
      <c r="N4" s="694"/>
      <c r="O4" s="694"/>
      <c r="P4" s="694"/>
      <c r="Q4" s="694"/>
      <c r="R4" s="694"/>
      <c r="S4" s="694"/>
      <c r="T4" s="694"/>
      <c r="U4" s="694"/>
    </row>
    <row r="5" spans="1:21" ht="18.75">
      <c r="A5" s="692" t="s">
        <v>162</v>
      </c>
      <c r="B5" s="1027">
        <f>SUM(F45:F47,C54:C56)</f>
        <v>0</v>
      </c>
      <c r="C5" s="797"/>
      <c r="D5" s="797"/>
      <c r="E5" s="797"/>
      <c r="F5" s="797"/>
      <c r="H5" s="694"/>
      <c r="I5" s="694"/>
      <c r="L5" s="694"/>
      <c r="M5" s="694"/>
      <c r="N5" s="694"/>
      <c r="O5" s="694"/>
      <c r="P5" s="694"/>
      <c r="Q5" s="694"/>
      <c r="R5" s="694"/>
      <c r="S5" s="694"/>
      <c r="T5" s="694"/>
      <c r="U5" s="694"/>
    </row>
    <row r="6" spans="1:21" ht="18.75">
      <c r="A6" s="692" t="s">
        <v>163</v>
      </c>
      <c r="B6" s="1027">
        <f>SUM(B63,B68)</f>
        <v>0</v>
      </c>
      <c r="C6" s="797"/>
      <c r="D6" s="797"/>
      <c r="E6" s="797"/>
      <c r="F6" s="797"/>
      <c r="H6" s="694"/>
      <c r="I6" s="694"/>
      <c r="L6" s="694"/>
      <c r="M6" s="694"/>
      <c r="N6" s="694"/>
      <c r="O6" s="694"/>
      <c r="P6" s="694"/>
      <c r="Q6" s="694"/>
      <c r="R6" s="694"/>
      <c r="S6" s="694"/>
      <c r="T6" s="694"/>
      <c r="U6" s="694"/>
    </row>
    <row r="7" spans="1:21" ht="18.75">
      <c r="A7" s="692" t="s">
        <v>1011</v>
      </c>
      <c r="B7" s="1027">
        <f>SUM(C75:C77)</f>
        <v>0</v>
      </c>
      <c r="C7" s="797"/>
      <c r="D7" s="797"/>
      <c r="E7" s="797"/>
      <c r="F7" s="797"/>
      <c r="H7" s="694"/>
      <c r="I7" s="694"/>
      <c r="L7" s="694"/>
      <c r="M7" s="694"/>
      <c r="N7" s="694"/>
      <c r="O7" s="694"/>
      <c r="P7" s="694"/>
      <c r="Q7" s="694"/>
      <c r="R7" s="694"/>
      <c r="S7" s="694"/>
      <c r="T7" s="694"/>
      <c r="U7" s="694"/>
    </row>
    <row r="8" spans="1:21" ht="18.75">
      <c r="A8" s="692" t="s">
        <v>165</v>
      </c>
      <c r="B8" s="1071">
        <f>SUM(D84:D86)</f>
        <v>0</v>
      </c>
      <c r="C8" s="711"/>
      <c r="D8" s="711"/>
      <c r="H8" s="694"/>
      <c r="I8" s="694"/>
      <c r="L8" s="694"/>
      <c r="M8" s="694"/>
      <c r="N8" s="694"/>
      <c r="O8" s="694"/>
      <c r="P8" s="694"/>
      <c r="Q8" s="694"/>
      <c r="R8" s="694"/>
      <c r="S8" s="694"/>
      <c r="T8" s="694"/>
      <c r="U8" s="694"/>
    </row>
    <row r="9" spans="1:21" ht="18.75">
      <c r="A9" s="692" t="s">
        <v>166</v>
      </c>
      <c r="B9" s="1071">
        <f>F149</f>
        <v>0</v>
      </c>
      <c r="C9" s="711"/>
      <c r="D9" s="711"/>
      <c r="H9" s="694"/>
      <c r="I9" s="694"/>
      <c r="L9" s="694"/>
      <c r="M9" s="694"/>
      <c r="N9" s="694"/>
      <c r="O9" s="694"/>
      <c r="P9" s="694"/>
      <c r="Q9" s="694"/>
      <c r="R9" s="694"/>
      <c r="S9" s="694"/>
      <c r="T9" s="694"/>
      <c r="U9" s="694"/>
    </row>
    <row r="10" spans="1:21" ht="18.75">
      <c r="A10" s="692" t="s">
        <v>424</v>
      </c>
      <c r="B10" s="700">
        <f>SUM(B4:B9)</f>
        <v>0</v>
      </c>
      <c r="C10" s="711"/>
      <c r="D10" s="711"/>
      <c r="H10" s="694"/>
      <c r="I10" s="694"/>
      <c r="L10" s="694"/>
      <c r="M10" s="694"/>
      <c r="N10" s="694"/>
      <c r="O10" s="694"/>
      <c r="P10" s="694"/>
      <c r="Q10" s="694"/>
      <c r="R10" s="694"/>
      <c r="S10" s="694"/>
      <c r="T10" s="694"/>
      <c r="U10" s="694"/>
    </row>
    <row r="11" spans="1:21">
      <c r="H11" s="694"/>
      <c r="I11" s="694"/>
      <c r="L11" s="694"/>
      <c r="M11" s="694"/>
      <c r="N11" s="694"/>
      <c r="O11" s="694"/>
      <c r="P11" s="694"/>
      <c r="Q11" s="694"/>
      <c r="R11" s="694"/>
      <c r="S11" s="694"/>
      <c r="T11" s="694"/>
      <c r="U11" s="694"/>
    </row>
    <row r="12" spans="1:21" s="740" customFormat="1" ht="36">
      <c r="A12" s="1993" t="s">
        <v>1068</v>
      </c>
      <c r="B12" s="1994"/>
      <c r="C12" s="1994"/>
      <c r="D12" s="1994"/>
      <c r="E12" s="1994"/>
      <c r="F12" s="1994"/>
      <c r="G12" s="1994"/>
      <c r="H12" s="1994"/>
      <c r="I12" s="1994"/>
      <c r="J12" s="1994"/>
      <c r="K12" s="1994"/>
      <c r="L12" s="1994"/>
      <c r="M12" s="1994"/>
      <c r="N12" s="1994"/>
      <c r="O12" s="1994"/>
      <c r="P12" s="1994"/>
      <c r="Q12" s="1994"/>
      <c r="R12" s="1994"/>
      <c r="S12" s="1105"/>
      <c r="T12" s="1105"/>
      <c r="U12" s="1105"/>
    </row>
    <row r="13" spans="1:21">
      <c r="A13" s="920"/>
    </row>
    <row r="14" spans="1:21" s="743" customFormat="1" ht="24" thickBot="1">
      <c r="A14" s="724"/>
      <c r="C14" s="1991" t="s">
        <v>427</v>
      </c>
      <c r="D14" s="1992"/>
      <c r="E14" s="1106"/>
      <c r="G14" s="926"/>
      <c r="H14" s="926"/>
      <c r="K14" s="1107"/>
      <c r="L14" s="1107"/>
      <c r="M14" s="1107"/>
      <c r="N14" s="1107"/>
      <c r="O14" s="1107"/>
      <c r="P14" s="1107"/>
      <c r="Q14" s="1108"/>
      <c r="R14" s="1107"/>
      <c r="S14" s="1107"/>
      <c r="T14" s="1107"/>
    </row>
    <row r="15" spans="1:21" ht="47.25">
      <c r="B15" s="692" t="s">
        <v>2419</v>
      </c>
      <c r="C15" s="692" t="s">
        <v>1040</v>
      </c>
      <c r="D15" s="747" t="s">
        <v>464</v>
      </c>
      <c r="E15" s="748" t="s">
        <v>448</v>
      </c>
      <c r="F15" s="748" t="s">
        <v>547</v>
      </c>
      <c r="G15" s="748" t="s">
        <v>690</v>
      </c>
      <c r="H15" s="748" t="s">
        <v>691</v>
      </c>
      <c r="I15" s="983" t="s">
        <v>547</v>
      </c>
      <c r="J15" s="695"/>
      <c r="L15" s="694"/>
      <c r="M15" s="694"/>
      <c r="N15" s="694"/>
      <c r="O15" s="694"/>
      <c r="P15" s="694"/>
      <c r="Q15" s="694"/>
      <c r="R15" s="694"/>
      <c r="S15" s="694"/>
      <c r="T15" s="694"/>
      <c r="U15" s="694"/>
    </row>
    <row r="16" spans="1:21" ht="16.5" thickBot="1">
      <c r="A16" s="705" t="s">
        <v>1069</v>
      </c>
      <c r="B16" s="1109"/>
      <c r="C16" s="764">
        <f>IFERROR((B16/'Emission Factors'!B677), " ")</f>
        <v>0</v>
      </c>
      <c r="D16" s="753">
        <f>(C16/'Emission Factors'!F684)*0.001</f>
        <v>0</v>
      </c>
      <c r="E16" s="753">
        <f>D16*'Emission Factors'!$B$700</f>
        <v>0</v>
      </c>
      <c r="F16" s="753">
        <f>$E16*'Emission Factors'!$C$700*0.001</f>
        <v>0</v>
      </c>
      <c r="G16" s="753">
        <f>$E16*'Emission Factors'!$D$700*0.001</f>
        <v>0</v>
      </c>
      <c r="H16" s="753">
        <f>$E16*'Emission Factors'!$E$700*0.001</f>
        <v>0</v>
      </c>
      <c r="I16" s="1110">
        <f>SUM(F16:H16)</f>
        <v>0</v>
      </c>
      <c r="J16" s="695"/>
      <c r="L16" s="694"/>
      <c r="M16" s="694"/>
      <c r="N16" s="694"/>
      <c r="O16" s="694"/>
      <c r="P16" s="694"/>
      <c r="Q16" s="694"/>
      <c r="R16" s="694"/>
      <c r="S16" s="694"/>
      <c r="T16" s="694"/>
      <c r="U16" s="694"/>
    </row>
    <row r="17" spans="1:21">
      <c r="A17" s="1111" t="s">
        <v>1070</v>
      </c>
      <c r="I17" s="694"/>
      <c r="J17" s="695"/>
      <c r="K17" s="695"/>
      <c r="P17" s="696"/>
      <c r="R17" s="695"/>
      <c r="T17" s="694"/>
      <c r="U17" s="694"/>
    </row>
    <row r="18" spans="1:21">
      <c r="A18" s="769"/>
    </row>
    <row r="19" spans="1:21" s="740" customFormat="1" ht="36">
      <c r="A19" s="1993" t="s">
        <v>1071</v>
      </c>
      <c r="B19" s="1994"/>
      <c r="C19" s="1994"/>
      <c r="D19" s="1994"/>
      <c r="E19" s="1994"/>
      <c r="F19" s="1994"/>
      <c r="G19" s="1994"/>
      <c r="H19" s="1994"/>
      <c r="I19" s="1994"/>
      <c r="J19" s="1994"/>
      <c r="K19" s="1994"/>
      <c r="L19" s="1994"/>
      <c r="M19" s="1994"/>
      <c r="N19" s="1994"/>
      <c r="O19" s="1994"/>
      <c r="P19" s="1994"/>
      <c r="Q19" s="1994"/>
      <c r="R19" s="1994"/>
      <c r="S19" s="1105"/>
      <c r="T19" s="1105"/>
      <c r="U19" s="1105"/>
    </row>
    <row r="20" spans="1:21">
      <c r="A20" s="920"/>
    </row>
    <row r="21" spans="1:21" s="743" customFormat="1" ht="24" thickBot="1">
      <c r="A21" s="724"/>
      <c r="C21" s="1991" t="s">
        <v>427</v>
      </c>
      <c r="D21" s="1992"/>
      <c r="F21" s="1106"/>
      <c r="H21" s="926"/>
      <c r="I21" s="926"/>
      <c r="L21" s="1107"/>
      <c r="M21" s="1107"/>
      <c r="N21" s="1107"/>
      <c r="O21" s="1107"/>
      <c r="P21" s="1107"/>
      <c r="Q21" s="1107"/>
      <c r="R21" s="1108"/>
      <c r="S21" s="1107"/>
      <c r="T21" s="1107"/>
      <c r="U21" s="1107"/>
    </row>
    <row r="22" spans="1:21" ht="47.25">
      <c r="B22" s="692" t="s">
        <v>2419</v>
      </c>
      <c r="C22" s="692" t="s">
        <v>1072</v>
      </c>
      <c r="D22" s="748" t="s">
        <v>448</v>
      </c>
      <c r="E22" s="748" t="s">
        <v>547</v>
      </c>
      <c r="F22" s="748" t="s">
        <v>690</v>
      </c>
      <c r="G22" s="748" t="s">
        <v>691</v>
      </c>
      <c r="H22" s="983" t="s">
        <v>547</v>
      </c>
      <c r="I22" s="695"/>
      <c r="L22" s="694"/>
      <c r="M22" s="694"/>
      <c r="N22" s="694"/>
      <c r="O22" s="694"/>
      <c r="P22" s="694"/>
      <c r="Q22" s="694"/>
      <c r="R22" s="694"/>
      <c r="S22" s="694"/>
      <c r="T22" s="694"/>
      <c r="U22" s="694"/>
    </row>
    <row r="23" spans="1:21" ht="16.5" thickBot="1">
      <c r="A23" s="705" t="s">
        <v>1073</v>
      </c>
      <c r="B23" s="1109"/>
      <c r="C23" s="764">
        <f>(B23/'Emission Factors'!B684)*0.001</f>
        <v>0</v>
      </c>
      <c r="D23" s="753">
        <f>C23*'Emission Factors'!$B$700</f>
        <v>0</v>
      </c>
      <c r="E23" s="753">
        <f>$D23*'Emission Factors'!$C$700*0.001</f>
        <v>0</v>
      </c>
      <c r="F23" s="753">
        <f>$D23*'Emission Factors'!$D$700*0.001</f>
        <v>0</v>
      </c>
      <c r="G23" s="753">
        <f>$D23*'Emission Factors'!$E$700*0.001</f>
        <v>0</v>
      </c>
      <c r="H23" s="1110">
        <f>SUM(E23:G23)</f>
        <v>0</v>
      </c>
      <c r="I23" s="695"/>
      <c r="L23" s="694"/>
      <c r="M23" s="694"/>
      <c r="N23" s="694"/>
      <c r="O23" s="694"/>
      <c r="P23" s="694"/>
      <c r="Q23" s="694"/>
      <c r="R23" s="694"/>
      <c r="S23" s="694"/>
      <c r="T23" s="694"/>
      <c r="U23" s="694"/>
    </row>
    <row r="24" spans="1:21">
      <c r="A24" s="1111" t="s">
        <v>1070</v>
      </c>
    </row>
    <row r="25" spans="1:21">
      <c r="A25" s="769"/>
    </row>
    <row r="26" spans="1:21" s="740" customFormat="1" ht="36">
      <c r="A26" s="1993" t="s">
        <v>1074</v>
      </c>
      <c r="B26" s="1994"/>
      <c r="C26" s="1994"/>
      <c r="D26" s="1994"/>
      <c r="E26" s="1994"/>
      <c r="F26" s="1994"/>
      <c r="G26" s="1994"/>
      <c r="H26" s="1994"/>
      <c r="I26" s="1994"/>
      <c r="J26" s="1994"/>
      <c r="K26" s="1994"/>
      <c r="L26" s="1994"/>
      <c r="M26" s="1994"/>
      <c r="N26" s="1994"/>
      <c r="O26" s="1994"/>
      <c r="P26" s="1994"/>
      <c r="Q26" s="1994"/>
      <c r="R26" s="1994"/>
      <c r="S26" s="1105"/>
      <c r="T26" s="1105"/>
      <c r="U26" s="1105"/>
    </row>
    <row r="27" spans="1:21">
      <c r="A27" s="920"/>
    </row>
    <row r="28" spans="1:21" s="1113" customFormat="1" ht="27" thickBot="1">
      <c r="A28" s="1112"/>
      <c r="B28" s="2119" t="s">
        <v>427</v>
      </c>
      <c r="C28" s="2120"/>
      <c r="E28" s="1114"/>
      <c r="G28" s="1115"/>
      <c r="H28" s="1115"/>
      <c r="K28" s="1116"/>
      <c r="L28" s="1116"/>
      <c r="M28" s="1116"/>
      <c r="N28" s="1116"/>
      <c r="O28" s="1116"/>
      <c r="P28" s="1116"/>
      <c r="Q28" s="1117"/>
      <c r="R28" s="1116"/>
      <c r="S28" s="1116"/>
      <c r="T28" s="1116"/>
    </row>
    <row r="29" spans="1:21" ht="56.25">
      <c r="A29" s="692" t="s">
        <v>1075</v>
      </c>
      <c r="B29" s="692" t="s">
        <v>1076</v>
      </c>
      <c r="C29" s="693" t="s">
        <v>504</v>
      </c>
      <c r="D29" s="696"/>
      <c r="E29" s="695"/>
      <c r="F29" s="695"/>
      <c r="G29" s="695"/>
      <c r="H29" s="694"/>
      <c r="I29" s="694"/>
      <c r="L29" s="694"/>
      <c r="M29" s="694"/>
      <c r="N29" s="694"/>
      <c r="O29" s="694"/>
      <c r="P29" s="694"/>
      <c r="Q29" s="694"/>
      <c r="R29" s="694"/>
      <c r="S29" s="694"/>
      <c r="T29" s="694"/>
      <c r="U29" s="694"/>
    </row>
    <row r="30" spans="1:21">
      <c r="A30" s="705" t="s">
        <v>72</v>
      </c>
      <c r="B30" s="768"/>
      <c r="C30" s="701">
        <f>IFERROR(B30*'Emission Factors'!D722/1000, )</f>
        <v>0</v>
      </c>
      <c r="D30" s="696"/>
      <c r="E30" s="695"/>
      <c r="F30" s="695"/>
      <c r="G30" s="695"/>
      <c r="H30" s="694"/>
      <c r="I30" s="694"/>
      <c r="L30" s="694"/>
      <c r="M30" s="694"/>
      <c r="N30" s="694"/>
      <c r="O30" s="694"/>
      <c r="P30" s="694"/>
      <c r="Q30" s="694"/>
      <c r="R30" s="694"/>
      <c r="S30" s="694"/>
      <c r="T30" s="694"/>
      <c r="U30" s="694"/>
    </row>
    <row r="31" spans="1:21">
      <c r="A31" s="705" t="s">
        <v>70</v>
      </c>
      <c r="B31" s="768"/>
      <c r="C31" s="701">
        <f>IFERROR(B31*'Emission Factors'!D723/1000, )</f>
        <v>0</v>
      </c>
      <c r="D31" s="696"/>
      <c r="E31" s="695"/>
      <c r="F31" s="695"/>
      <c r="G31" s="695"/>
      <c r="H31" s="694"/>
      <c r="I31" s="694"/>
      <c r="L31" s="694"/>
      <c r="M31" s="694"/>
      <c r="N31" s="694"/>
      <c r="O31" s="694"/>
      <c r="P31" s="694"/>
      <c r="Q31" s="694"/>
      <c r="R31" s="694"/>
      <c r="S31" s="694"/>
      <c r="T31" s="694"/>
      <c r="U31" s="694"/>
    </row>
    <row r="32" spans="1:21">
      <c r="A32" s="705" t="s">
        <v>1077</v>
      </c>
      <c r="B32" s="768"/>
      <c r="C32" s="701">
        <f>IFERROR(B32*'Emission Factors'!D724/1000, )</f>
        <v>0</v>
      </c>
      <c r="D32" s="696"/>
      <c r="E32" s="695"/>
      <c r="F32" s="695"/>
      <c r="G32" s="695"/>
      <c r="H32" s="694"/>
      <c r="I32" s="694"/>
      <c r="L32" s="694"/>
      <c r="M32" s="694"/>
      <c r="N32" s="694"/>
      <c r="O32" s="694"/>
      <c r="P32" s="694"/>
      <c r="Q32" s="694"/>
      <c r="R32" s="694"/>
      <c r="S32" s="694"/>
      <c r="T32" s="694"/>
      <c r="U32" s="694"/>
    </row>
    <row r="33" spans="1:21">
      <c r="A33" s="705" t="s">
        <v>1078</v>
      </c>
      <c r="B33" s="768"/>
      <c r="C33" s="701">
        <f>IFERROR(B33*'Emission Factors'!#REF!/1000, )</f>
        <v>0</v>
      </c>
      <c r="D33" s="696"/>
      <c r="E33" s="695"/>
      <c r="F33" s="695"/>
      <c r="G33" s="695"/>
      <c r="H33" s="694"/>
      <c r="I33" s="694"/>
      <c r="L33" s="694"/>
      <c r="M33" s="694"/>
      <c r="N33" s="694"/>
      <c r="O33" s="694"/>
      <c r="P33" s="694"/>
      <c r="Q33" s="694"/>
      <c r="R33" s="694"/>
      <c r="S33" s="694"/>
      <c r="T33" s="694"/>
      <c r="U33" s="694"/>
    </row>
    <row r="34" spans="1:21">
      <c r="A34" s="705" t="s">
        <v>1079</v>
      </c>
      <c r="B34" s="768"/>
      <c r="C34" s="701">
        <f>IFERROR(B34*'Emission Factors'!D725/1000, )</f>
        <v>0</v>
      </c>
      <c r="D34" s="696"/>
      <c r="E34" s="695"/>
      <c r="F34" s="695"/>
      <c r="G34" s="695"/>
      <c r="H34" s="694"/>
      <c r="I34" s="694"/>
      <c r="L34" s="694"/>
      <c r="M34" s="694"/>
      <c r="N34" s="694"/>
      <c r="O34" s="694"/>
      <c r="P34" s="694"/>
      <c r="Q34" s="694"/>
      <c r="R34" s="694"/>
      <c r="S34" s="694"/>
      <c r="T34" s="694"/>
      <c r="U34" s="694"/>
    </row>
    <row r="35" spans="1:21">
      <c r="A35" s="705" t="s">
        <v>1080</v>
      </c>
      <c r="B35" s="768"/>
      <c r="C35" s="701">
        <f>IFERROR(B35*'Emission Factors'!D726/1000, )</f>
        <v>0</v>
      </c>
      <c r="D35" s="696"/>
      <c r="E35" s="695"/>
      <c r="F35" s="695"/>
      <c r="G35" s="695"/>
      <c r="H35" s="694"/>
      <c r="I35" s="694"/>
      <c r="L35" s="694"/>
      <c r="M35" s="694"/>
      <c r="N35" s="694"/>
      <c r="O35" s="694"/>
      <c r="P35" s="694"/>
      <c r="Q35" s="694"/>
      <c r="R35" s="694"/>
      <c r="S35" s="694"/>
      <c r="T35" s="694"/>
      <c r="U35" s="694"/>
    </row>
    <row r="36" spans="1:21">
      <c r="A36" s="705" t="s">
        <v>1081</v>
      </c>
      <c r="B36" s="768"/>
      <c r="C36" s="701">
        <f>IFERROR(B36*'Emission Factors'!D727/1000, )</f>
        <v>0</v>
      </c>
      <c r="D36" s="696"/>
      <c r="E36" s="695"/>
      <c r="F36" s="695"/>
      <c r="G36" s="695"/>
      <c r="H36" s="694"/>
      <c r="I36" s="694"/>
      <c r="L36" s="694"/>
      <c r="M36" s="694"/>
      <c r="N36" s="694"/>
      <c r="O36" s="694"/>
      <c r="P36" s="694"/>
      <c r="Q36" s="694"/>
      <c r="R36" s="694"/>
      <c r="S36" s="694"/>
      <c r="T36" s="694"/>
      <c r="U36" s="694"/>
    </row>
    <row r="37" spans="1:21">
      <c r="A37" s="705" t="s">
        <v>1082</v>
      </c>
      <c r="B37" s="768"/>
      <c r="C37" s="701">
        <f>IFERROR(B37*'Emission Factors'!#REF!/1000, )</f>
        <v>0</v>
      </c>
      <c r="D37" s="696"/>
      <c r="E37" s="695"/>
      <c r="F37" s="695"/>
      <c r="G37" s="695"/>
      <c r="H37" s="694"/>
      <c r="I37" s="694"/>
      <c r="L37" s="694"/>
      <c r="M37" s="694"/>
      <c r="N37" s="694"/>
      <c r="O37" s="694"/>
      <c r="P37" s="694"/>
      <c r="Q37" s="694"/>
      <c r="R37" s="694"/>
      <c r="S37" s="694"/>
      <c r="T37" s="694"/>
      <c r="U37" s="694"/>
    </row>
    <row r="38" spans="1:21">
      <c r="A38" s="705" t="s">
        <v>1083</v>
      </c>
      <c r="B38" s="768"/>
      <c r="C38" s="701">
        <f>IFERROR(B38*'Emission Factors'!D728/1000, )</f>
        <v>0</v>
      </c>
      <c r="D38" s="696"/>
      <c r="E38" s="695"/>
      <c r="F38" s="695"/>
      <c r="G38" s="695"/>
      <c r="H38" s="694"/>
      <c r="I38" s="694"/>
      <c r="L38" s="694"/>
      <c r="M38" s="694"/>
      <c r="N38" s="694"/>
      <c r="O38" s="694"/>
      <c r="P38" s="694"/>
      <c r="Q38" s="694"/>
      <c r="R38" s="694"/>
      <c r="S38" s="694"/>
      <c r="T38" s="694"/>
      <c r="U38" s="694"/>
    </row>
    <row r="39" spans="1:21">
      <c r="A39" s="769"/>
    </row>
    <row r="41" spans="1:21" s="740" customFormat="1" ht="36">
      <c r="A41" s="1993" t="s">
        <v>162</v>
      </c>
      <c r="B41" s="1994"/>
      <c r="C41" s="1994"/>
      <c r="D41" s="1994"/>
      <c r="E41" s="1994"/>
      <c r="F41" s="1994"/>
      <c r="G41" s="1994"/>
      <c r="H41" s="1994"/>
      <c r="I41" s="1994"/>
      <c r="J41" s="1994"/>
      <c r="K41" s="1994"/>
      <c r="L41" s="1994"/>
      <c r="M41" s="1994"/>
      <c r="N41" s="1994"/>
      <c r="O41" s="1994"/>
      <c r="P41" s="1994"/>
      <c r="Q41" s="1994"/>
      <c r="R41" s="1994"/>
      <c r="S41" s="1105"/>
      <c r="T41" s="1105"/>
      <c r="U41" s="1105"/>
    </row>
    <row r="42" spans="1:21">
      <c r="A42" s="920"/>
      <c r="F42" s="769"/>
    </row>
    <row r="43" spans="1:21" s="743" customFormat="1" ht="24" thickBot="1">
      <c r="A43" s="2117" t="s">
        <v>2406</v>
      </c>
      <c r="B43" s="2118"/>
      <c r="C43" s="1991" t="s">
        <v>427</v>
      </c>
      <c r="D43" s="1992"/>
      <c r="F43" s="1118"/>
      <c r="H43" s="926"/>
      <c r="I43" s="926"/>
      <c r="L43" s="1107"/>
      <c r="M43" s="1107"/>
      <c r="N43" s="1107"/>
      <c r="O43" s="1107"/>
      <c r="P43" s="1107"/>
      <c r="Q43" s="1107"/>
      <c r="R43" s="1108"/>
      <c r="S43" s="1107"/>
      <c r="T43" s="1107"/>
      <c r="U43" s="1107"/>
    </row>
    <row r="44" spans="1:21" s="711" customFormat="1" ht="75">
      <c r="A44" s="692" t="s">
        <v>1084</v>
      </c>
      <c r="B44" s="692" t="s">
        <v>1085</v>
      </c>
      <c r="C44" s="692" t="s">
        <v>2418</v>
      </c>
      <c r="D44" s="692" t="s">
        <v>2413</v>
      </c>
      <c r="E44" s="692" t="s">
        <v>1086</v>
      </c>
      <c r="F44" s="693" t="s">
        <v>504</v>
      </c>
      <c r="G44" s="696"/>
      <c r="H44" s="1541"/>
    </row>
    <row r="45" spans="1:21">
      <c r="A45" s="705" t="s">
        <v>1056</v>
      </c>
      <c r="B45" s="698"/>
      <c r="C45" s="1109"/>
      <c r="D45" s="1119">
        <v>0.2</v>
      </c>
      <c r="E45" s="985">
        <f>SUM((C45-(B45*72.11))/D45)</f>
        <v>0</v>
      </c>
      <c r="F45" s="701">
        <f>E45*'Emission Factors'!$D$742/1000</f>
        <v>0</v>
      </c>
      <c r="G45" s="695"/>
      <c r="H45" s="1542"/>
      <c r="I45" s="694"/>
      <c r="L45" s="694"/>
      <c r="N45" s="694"/>
      <c r="O45" s="694"/>
      <c r="P45" s="694"/>
      <c r="Q45" s="694"/>
      <c r="R45" s="694"/>
      <c r="S45" s="694"/>
      <c r="T45" s="694"/>
      <c r="U45" s="694"/>
    </row>
    <row r="46" spans="1:21">
      <c r="A46" s="705" t="s">
        <v>1087</v>
      </c>
      <c r="B46" s="698"/>
      <c r="C46" s="1109"/>
      <c r="D46" s="1119">
        <v>0.13</v>
      </c>
      <c r="E46" s="985">
        <f>SUM((C46-(B46*68.28))/D46)</f>
        <v>0</v>
      </c>
      <c r="F46" s="701">
        <f>E46*'Emission Factors'!$D$749/1000</f>
        <v>0</v>
      </c>
      <c r="G46" s="695"/>
      <c r="H46" s="1542"/>
      <c r="I46" s="694"/>
      <c r="L46" s="694"/>
      <c r="N46" s="694"/>
      <c r="O46" s="694"/>
      <c r="P46" s="694"/>
      <c r="Q46" s="694"/>
      <c r="R46" s="694"/>
      <c r="S46" s="694"/>
      <c r="T46" s="694"/>
      <c r="U46" s="694"/>
    </row>
    <row r="47" spans="1:21" ht="16.5" thickBot="1">
      <c r="A47" s="705" t="s">
        <v>1088</v>
      </c>
      <c r="B47" s="698"/>
      <c r="C47" s="1109"/>
      <c r="D47" s="1119">
        <v>0.125</v>
      </c>
      <c r="E47" s="985">
        <f>SUM((C47-(B47*71.6))/D47)</f>
        <v>0</v>
      </c>
      <c r="F47" s="1120">
        <f>E47*'Emission Factors'!$D$752/1000</f>
        <v>0</v>
      </c>
      <c r="G47" s="695"/>
      <c r="H47" s="1542"/>
      <c r="I47" s="694"/>
      <c r="L47" s="694"/>
      <c r="N47" s="694"/>
      <c r="O47" s="694"/>
      <c r="P47" s="694"/>
      <c r="Q47" s="694"/>
      <c r="R47" s="694"/>
      <c r="S47" s="694"/>
      <c r="T47" s="694"/>
      <c r="U47" s="694"/>
    </row>
    <row r="48" spans="1:21" ht="15.75" customHeight="1">
      <c r="A48" s="2121" t="s">
        <v>2412</v>
      </c>
      <c r="B48" s="2121"/>
      <c r="C48" s="2121"/>
      <c r="D48" s="1540"/>
      <c r="E48" s="1540"/>
      <c r="F48" s="1540"/>
      <c r="H48" s="694"/>
      <c r="I48" s="694"/>
      <c r="L48" s="694"/>
      <c r="M48" s="694"/>
      <c r="N48" s="694"/>
      <c r="O48" s="920"/>
      <c r="P48" s="1121"/>
      <c r="Q48" s="694"/>
      <c r="R48" s="694"/>
      <c r="S48" s="694"/>
      <c r="T48" s="694"/>
      <c r="U48" s="694"/>
    </row>
    <row r="49" spans="1:21" ht="66.75" customHeight="1">
      <c r="A49" s="2122"/>
      <c r="B49" s="2122"/>
      <c r="C49" s="2122"/>
      <c r="D49" s="1540"/>
      <c r="E49" s="1540"/>
      <c r="F49" s="1540"/>
      <c r="H49" s="694"/>
      <c r="I49" s="694"/>
      <c r="L49" s="694"/>
      <c r="M49" s="694"/>
      <c r="N49" s="694"/>
      <c r="O49" s="920"/>
      <c r="P49" s="1121"/>
      <c r="Q49" s="694"/>
      <c r="R49" s="694"/>
      <c r="S49" s="694"/>
      <c r="T49" s="694"/>
      <c r="U49" s="694"/>
    </row>
    <row r="50" spans="1:21" ht="37.5" customHeight="1">
      <c r="A50" s="1540"/>
      <c r="B50" s="1540"/>
      <c r="C50" s="1540"/>
      <c r="D50" s="1540"/>
      <c r="E50" s="1540"/>
      <c r="F50" s="1540"/>
      <c r="H50" s="694"/>
      <c r="I50" s="694"/>
      <c r="L50" s="694"/>
      <c r="M50" s="694"/>
      <c r="N50" s="694"/>
      <c r="O50" s="920"/>
      <c r="P50" s="1121"/>
      <c r="Q50" s="694"/>
      <c r="R50" s="694"/>
      <c r="S50" s="694"/>
      <c r="T50" s="694"/>
      <c r="U50" s="694"/>
    </row>
    <row r="51" spans="1:21" s="743" customFormat="1" ht="23.25">
      <c r="A51" s="1122" t="s">
        <v>435</v>
      </c>
      <c r="O51" s="724"/>
      <c r="P51" s="1123"/>
    </row>
    <row r="52" spans="1:21" s="743" customFormat="1" ht="24" thickBot="1">
      <c r="A52" s="2117" t="s">
        <v>1089</v>
      </c>
      <c r="B52" s="2118"/>
      <c r="C52" s="2058" t="s">
        <v>427</v>
      </c>
      <c r="D52" s="2059"/>
      <c r="E52" s="724"/>
      <c r="Q52" s="1107"/>
      <c r="R52" s="1108"/>
      <c r="S52" s="1107"/>
      <c r="T52" s="1107"/>
      <c r="U52" s="1107"/>
    </row>
    <row r="53" spans="1:21" ht="56.25">
      <c r="A53" s="692" t="s">
        <v>1084</v>
      </c>
      <c r="B53" s="841" t="s">
        <v>1086</v>
      </c>
      <c r="C53" s="693" t="s">
        <v>504</v>
      </c>
      <c r="F53" s="694"/>
      <c r="H53" s="694"/>
      <c r="I53" s="694"/>
      <c r="L53" s="694"/>
      <c r="M53" s="694"/>
      <c r="N53" s="694"/>
      <c r="O53" s="694"/>
      <c r="P53" s="694"/>
      <c r="Q53" s="694"/>
      <c r="R53" s="694"/>
      <c r="S53" s="694"/>
      <c r="T53" s="694"/>
      <c r="U53" s="694"/>
    </row>
    <row r="54" spans="1:21">
      <c r="A54" s="705" t="s">
        <v>1056</v>
      </c>
      <c r="B54" s="699"/>
      <c r="C54" s="701">
        <f>B54*'Emission Factors'!$D$742/1000</f>
        <v>0</v>
      </c>
      <c r="D54" s="695"/>
      <c r="E54" s="695"/>
      <c r="F54" s="695"/>
      <c r="G54" s="695"/>
      <c r="H54" s="695"/>
      <c r="I54" s="696"/>
      <c r="J54" s="695"/>
      <c r="K54" s="695"/>
      <c r="M54" s="694"/>
      <c r="N54" s="694"/>
      <c r="O54" s="694"/>
      <c r="P54" s="694"/>
      <c r="Q54" s="694"/>
      <c r="R54" s="694"/>
      <c r="S54" s="694"/>
      <c r="T54" s="694"/>
      <c r="U54" s="694"/>
    </row>
    <row r="55" spans="1:21">
      <c r="A55" s="705" t="s">
        <v>1087</v>
      </c>
      <c r="B55" s="699"/>
      <c r="C55" s="701">
        <f>B55*'Emission Factors'!D749/1000</f>
        <v>0</v>
      </c>
      <c r="D55" s="695"/>
      <c r="E55" s="695"/>
      <c r="F55" s="695"/>
      <c r="G55" s="695"/>
      <c r="H55" s="695"/>
      <c r="I55" s="696"/>
      <c r="J55" s="695"/>
      <c r="K55" s="695"/>
      <c r="M55" s="694"/>
      <c r="N55" s="694"/>
      <c r="O55" s="694"/>
      <c r="P55" s="694"/>
      <c r="Q55" s="694"/>
      <c r="R55" s="694"/>
      <c r="S55" s="694"/>
      <c r="T55" s="694"/>
      <c r="U55" s="694"/>
    </row>
    <row r="56" spans="1:21" ht="16.5" thickBot="1">
      <c r="A56" s="705" t="s">
        <v>1088</v>
      </c>
      <c r="B56" s="699"/>
      <c r="C56" s="1120">
        <f>B56*'Emission Factors'!D752/1000</f>
        <v>0</v>
      </c>
      <c r="D56" s="695"/>
      <c r="E56" s="695"/>
      <c r="F56" s="695"/>
      <c r="G56" s="695"/>
      <c r="H56" s="695"/>
      <c r="I56" s="696"/>
      <c r="J56" s="695"/>
      <c r="K56" s="695"/>
      <c r="M56" s="694"/>
      <c r="N56" s="694"/>
      <c r="O56" s="694"/>
      <c r="P56" s="694"/>
      <c r="Q56" s="694"/>
      <c r="R56" s="694"/>
      <c r="S56" s="694"/>
      <c r="T56" s="694"/>
      <c r="U56" s="694"/>
    </row>
    <row r="57" spans="1:21">
      <c r="A57" s="769" t="s">
        <v>1090</v>
      </c>
      <c r="F57" s="694"/>
      <c r="H57" s="694"/>
      <c r="I57" s="695"/>
      <c r="J57" s="695"/>
      <c r="K57" s="695"/>
      <c r="N57" s="696"/>
      <c r="R57" s="694"/>
      <c r="S57" s="694"/>
      <c r="T57" s="694"/>
      <c r="U57" s="694"/>
    </row>
    <row r="58" spans="1:21">
      <c r="F58" s="694"/>
      <c r="H58" s="694"/>
      <c r="I58" s="694"/>
      <c r="L58" s="694"/>
    </row>
    <row r="59" spans="1:21" s="740" customFormat="1" ht="36">
      <c r="A59" s="1993" t="s">
        <v>1091</v>
      </c>
      <c r="B59" s="1994"/>
      <c r="C59" s="1994"/>
      <c r="D59" s="1994"/>
      <c r="E59" s="1994"/>
      <c r="F59" s="1994"/>
      <c r="G59" s="1994"/>
      <c r="H59" s="1994"/>
      <c r="I59" s="1994"/>
      <c r="J59" s="1994"/>
      <c r="K59" s="1994"/>
      <c r="L59" s="1994"/>
      <c r="M59" s="1994"/>
      <c r="N59" s="1994"/>
      <c r="O59" s="1994"/>
      <c r="P59" s="1994"/>
      <c r="Q59" s="1994"/>
      <c r="R59" s="1994"/>
      <c r="S59" s="1105"/>
      <c r="T59" s="1105"/>
      <c r="U59" s="1105"/>
    </row>
    <row r="60" spans="1:21">
      <c r="A60" s="920"/>
    </row>
    <row r="61" spans="1:21" s="743" customFormat="1" ht="24" thickBot="1">
      <c r="A61" s="2117" t="s">
        <v>2417</v>
      </c>
      <c r="B61" s="2118"/>
      <c r="C61" s="2058" t="s">
        <v>427</v>
      </c>
      <c r="D61" s="2059"/>
      <c r="F61" s="1118"/>
      <c r="H61" s="926"/>
      <c r="I61" s="926"/>
      <c r="M61" s="1107"/>
      <c r="N61" s="1107"/>
      <c r="O61" s="1107"/>
      <c r="P61" s="1107"/>
      <c r="Q61" s="1107"/>
      <c r="R61" s="1108"/>
      <c r="S61" s="1107"/>
      <c r="T61" s="1107"/>
      <c r="U61" s="1107"/>
    </row>
    <row r="62" spans="1:21" ht="56.25">
      <c r="A62" s="692" t="s">
        <v>2414</v>
      </c>
      <c r="B62" s="693" t="s">
        <v>504</v>
      </c>
      <c r="C62" s="696"/>
      <c r="D62" s="695"/>
      <c r="E62" s="695"/>
      <c r="F62" s="695"/>
      <c r="H62" s="694"/>
      <c r="I62" s="694"/>
      <c r="L62" s="694"/>
      <c r="M62" s="694"/>
      <c r="N62" s="694"/>
      <c r="O62" s="694"/>
      <c r="P62" s="694"/>
      <c r="Q62" s="694"/>
      <c r="R62" s="694"/>
      <c r="S62" s="694"/>
      <c r="T62" s="694"/>
      <c r="U62" s="694"/>
    </row>
    <row r="63" spans="1:21" ht="16.5" thickBot="1">
      <c r="A63" s="1109"/>
      <c r="B63" s="1120">
        <f>A63*0.0011*'Emission Factors'!$D$739/1000</f>
        <v>0</v>
      </c>
      <c r="C63" s="696"/>
      <c r="D63" s="695"/>
      <c r="E63" s="695"/>
      <c r="F63" s="695"/>
      <c r="H63" s="694"/>
      <c r="I63" s="694"/>
      <c r="L63" s="694"/>
      <c r="M63" s="694"/>
      <c r="N63" s="694"/>
      <c r="O63" s="694"/>
      <c r="P63" s="694"/>
      <c r="Q63" s="694"/>
      <c r="R63" s="694"/>
      <c r="S63" s="694"/>
      <c r="T63" s="694"/>
      <c r="U63" s="694"/>
    </row>
    <row r="64" spans="1:21">
      <c r="A64" s="769"/>
      <c r="B64" s="694" t="s">
        <v>2415</v>
      </c>
      <c r="F64" s="694"/>
      <c r="H64" s="694"/>
      <c r="I64" s="694"/>
      <c r="L64" s="694"/>
    </row>
    <row r="65" spans="1:21" s="743" customFormat="1" ht="23.25">
      <c r="A65" s="1122" t="s">
        <v>435</v>
      </c>
      <c r="O65" s="724"/>
      <c r="P65" s="1123"/>
    </row>
    <row r="66" spans="1:21" s="743" customFormat="1" ht="24" thickBot="1">
      <c r="A66" s="2123" t="s">
        <v>1092</v>
      </c>
      <c r="B66" s="2124"/>
      <c r="C66" s="2058" t="s">
        <v>427</v>
      </c>
      <c r="D66" s="2059"/>
      <c r="E66" s="724"/>
      <c r="Q66" s="1107"/>
      <c r="R66" s="1108"/>
      <c r="S66" s="1107"/>
      <c r="T66" s="1107"/>
      <c r="U66" s="1107"/>
    </row>
    <row r="67" spans="1:21" ht="56.25">
      <c r="A67" s="692" t="s">
        <v>1093</v>
      </c>
      <c r="B67" s="693" t="s">
        <v>504</v>
      </c>
      <c r="F67" s="694"/>
      <c r="H67" s="694"/>
      <c r="I67" s="694"/>
      <c r="L67" s="694"/>
      <c r="M67" s="694"/>
      <c r="N67" s="694"/>
      <c r="O67" s="694"/>
      <c r="P67" s="694"/>
      <c r="Q67" s="694"/>
      <c r="R67" s="694"/>
      <c r="S67" s="694"/>
      <c r="T67" s="694"/>
      <c r="U67" s="694"/>
    </row>
    <row r="68" spans="1:21" ht="16.5" thickBot="1">
      <c r="A68" s="698"/>
      <c r="B68" s="1120">
        <f>A68*'Emission Factors'!$D$738/1000</f>
        <v>0</v>
      </c>
      <c r="C68" s="695"/>
      <c r="D68" s="695"/>
      <c r="E68" s="695"/>
      <c r="F68" s="695"/>
      <c r="G68" s="695"/>
      <c r="H68" s="696"/>
      <c r="I68" s="695"/>
      <c r="J68" s="695"/>
      <c r="K68" s="695"/>
      <c r="L68" s="694"/>
      <c r="M68" s="694"/>
      <c r="N68" s="694"/>
      <c r="O68" s="694"/>
      <c r="P68" s="694"/>
      <c r="Q68" s="694"/>
      <c r="R68" s="694"/>
      <c r="S68" s="694"/>
      <c r="T68" s="694"/>
      <c r="U68" s="694"/>
    </row>
    <row r="69" spans="1:21">
      <c r="A69" s="769"/>
      <c r="F69" s="694"/>
      <c r="H69" s="694"/>
      <c r="I69" s="694"/>
      <c r="L69" s="694"/>
    </row>
    <row r="70" spans="1:21">
      <c r="F70" s="694"/>
      <c r="H70" s="694"/>
      <c r="I70" s="694"/>
      <c r="L70" s="694"/>
    </row>
    <row r="71" spans="1:21" s="740" customFormat="1" ht="36">
      <c r="A71" s="1993" t="s">
        <v>1011</v>
      </c>
      <c r="B71" s="1994"/>
      <c r="C71" s="1994"/>
      <c r="D71" s="1994"/>
      <c r="E71" s="1994"/>
      <c r="F71" s="1994"/>
      <c r="G71" s="1994"/>
      <c r="H71" s="1994"/>
      <c r="I71" s="1994"/>
      <c r="J71" s="1994"/>
      <c r="K71" s="1994"/>
      <c r="L71" s="1994"/>
      <c r="M71" s="1994"/>
      <c r="N71" s="1994"/>
      <c r="O71" s="1994"/>
      <c r="P71" s="1994"/>
      <c r="Q71" s="1994"/>
      <c r="R71" s="1994"/>
      <c r="S71" s="1105"/>
      <c r="T71" s="1105"/>
      <c r="U71" s="1105"/>
    </row>
    <row r="72" spans="1:21">
      <c r="A72" s="920"/>
      <c r="F72" s="769"/>
    </row>
    <row r="73" spans="1:21" s="743" customFormat="1" ht="24" thickBot="1">
      <c r="A73" s="724"/>
      <c r="B73" s="2058" t="s">
        <v>427</v>
      </c>
      <c r="C73" s="2059"/>
      <c r="E73" s="1118"/>
      <c r="G73" s="926"/>
      <c r="H73" s="926"/>
      <c r="K73" s="1107"/>
      <c r="L73" s="1107"/>
      <c r="M73" s="1107"/>
      <c r="N73" s="1107"/>
      <c r="O73" s="1107"/>
      <c r="P73" s="1107"/>
      <c r="Q73" s="1108"/>
      <c r="R73" s="1107"/>
      <c r="S73" s="1107"/>
      <c r="T73" s="1107"/>
    </row>
    <row r="74" spans="1:21" ht="56.25">
      <c r="A74" s="692" t="s">
        <v>1094</v>
      </c>
      <c r="B74" s="692" t="s">
        <v>1076</v>
      </c>
      <c r="C74" s="693" t="s">
        <v>504</v>
      </c>
      <c r="D74" s="696"/>
      <c r="E74" s="696"/>
      <c r="F74" s="711"/>
      <c r="G74" s="695"/>
      <c r="J74" s="696"/>
      <c r="K74" s="695"/>
      <c r="N74" s="694"/>
      <c r="O74" s="694"/>
      <c r="P74" s="694"/>
      <c r="Q74" s="694"/>
      <c r="R74" s="694"/>
      <c r="S74" s="694"/>
      <c r="T74" s="694"/>
      <c r="U74" s="694"/>
    </row>
    <row r="75" spans="1:21">
      <c r="A75" s="697" t="s">
        <v>1095</v>
      </c>
      <c r="B75" s="698"/>
      <c r="C75" s="701">
        <f>B75*'Emission Factors'!$D$768/1000</f>
        <v>0</v>
      </c>
      <c r="D75" s="695"/>
      <c r="E75" s="695"/>
      <c r="F75" s="694"/>
      <c r="H75" s="694"/>
      <c r="I75" s="694"/>
      <c r="J75" s="696"/>
      <c r="K75" s="695"/>
      <c r="N75" s="694"/>
      <c r="O75" s="694"/>
      <c r="P75" s="694"/>
      <c r="Q75" s="694"/>
      <c r="R75" s="694"/>
      <c r="S75" s="694"/>
      <c r="T75" s="694"/>
      <c r="U75" s="694"/>
    </row>
    <row r="76" spans="1:21">
      <c r="A76" s="697" t="s">
        <v>1096</v>
      </c>
      <c r="B76" s="698"/>
      <c r="C76" s="701">
        <f>B76*'Emission Factors'!$D$769/1000</f>
        <v>0</v>
      </c>
      <c r="D76" s="695"/>
      <c r="E76" s="695"/>
      <c r="F76" s="694"/>
      <c r="H76" s="694"/>
      <c r="I76" s="694"/>
      <c r="J76" s="696"/>
      <c r="K76" s="695"/>
      <c r="N76" s="694"/>
      <c r="O76" s="694"/>
      <c r="P76" s="694"/>
      <c r="Q76" s="694"/>
      <c r="R76" s="694"/>
      <c r="S76" s="694"/>
      <c r="T76" s="694"/>
      <c r="U76" s="694"/>
    </row>
    <row r="77" spans="1:21">
      <c r="A77" s="697" t="s">
        <v>1097</v>
      </c>
      <c r="B77" s="698"/>
      <c r="C77" s="701">
        <f>B77*'Emission Factors'!$D$770/1000</f>
        <v>0</v>
      </c>
      <c r="D77" s="695"/>
      <c r="E77" s="695"/>
      <c r="F77" s="694"/>
      <c r="H77" s="694"/>
      <c r="I77" s="694"/>
      <c r="J77" s="696"/>
      <c r="K77" s="695"/>
      <c r="N77" s="694"/>
      <c r="O77" s="694"/>
      <c r="P77" s="694"/>
      <c r="Q77" s="694"/>
      <c r="R77" s="694"/>
      <c r="S77" s="694"/>
      <c r="T77" s="694"/>
      <c r="U77" s="694"/>
    </row>
    <row r="78" spans="1:21">
      <c r="A78" s="981" t="s">
        <v>1098</v>
      </c>
      <c r="B78" s="695"/>
      <c r="C78" s="695"/>
      <c r="D78" s="695"/>
      <c r="E78" s="695"/>
      <c r="F78" s="695"/>
      <c r="H78" s="694"/>
      <c r="I78" s="694"/>
      <c r="K78" s="696"/>
      <c r="O78" s="694"/>
      <c r="P78" s="694"/>
      <c r="Q78" s="694"/>
      <c r="R78" s="694"/>
      <c r="S78" s="694"/>
      <c r="T78" s="694"/>
      <c r="U78" s="694"/>
    </row>
    <row r="79" spans="1:21">
      <c r="F79" s="694"/>
      <c r="H79" s="694"/>
      <c r="I79" s="694"/>
      <c r="J79" s="695"/>
      <c r="K79" s="695"/>
      <c r="O79" s="696"/>
      <c r="R79" s="695"/>
      <c r="S79" s="694"/>
      <c r="T79" s="694"/>
      <c r="U79" s="694"/>
    </row>
    <row r="80" spans="1:21" s="740" customFormat="1" ht="36">
      <c r="A80" s="1993" t="s">
        <v>165</v>
      </c>
      <c r="B80" s="1994"/>
      <c r="C80" s="1994"/>
      <c r="D80" s="1994"/>
      <c r="E80" s="1994"/>
      <c r="F80" s="1994"/>
      <c r="G80" s="1994"/>
      <c r="H80" s="1994"/>
      <c r="I80" s="1994"/>
      <c r="J80" s="1994"/>
      <c r="K80" s="1994"/>
      <c r="L80" s="1994"/>
      <c r="M80" s="1994"/>
      <c r="N80" s="1994"/>
      <c r="O80" s="1994"/>
      <c r="P80" s="1994"/>
      <c r="Q80" s="1994"/>
      <c r="R80" s="1994"/>
      <c r="S80" s="1105"/>
      <c r="T80" s="1105"/>
      <c r="U80" s="1105"/>
    </row>
    <row r="81" spans="1:22">
      <c r="A81" s="920"/>
      <c r="F81" s="769"/>
    </row>
    <row r="82" spans="1:22" s="743" customFormat="1" ht="24" thickBot="1">
      <c r="A82" s="724"/>
      <c r="C82" s="2058" t="s">
        <v>427</v>
      </c>
      <c r="D82" s="2059"/>
      <c r="F82" s="1118"/>
      <c r="H82" s="926"/>
      <c r="I82" s="926"/>
      <c r="L82" s="1107"/>
      <c r="M82" s="1107"/>
      <c r="N82" s="1107"/>
      <c r="O82" s="1107"/>
      <c r="P82" s="1107"/>
      <c r="Q82" s="1107"/>
      <c r="R82" s="1108"/>
      <c r="S82" s="1107"/>
      <c r="T82" s="1107"/>
      <c r="U82" s="1107"/>
    </row>
    <row r="83" spans="1:22" ht="56.25">
      <c r="A83" s="692" t="s">
        <v>1094</v>
      </c>
      <c r="B83" s="692" t="s">
        <v>1076</v>
      </c>
      <c r="C83" s="841" t="s">
        <v>1099</v>
      </c>
      <c r="D83" s="693" t="s">
        <v>504</v>
      </c>
      <c r="E83" s="696"/>
      <c r="F83" s="696"/>
      <c r="G83" s="711"/>
      <c r="J83" s="711"/>
      <c r="K83" s="696"/>
      <c r="N83" s="696"/>
      <c r="R83" s="694"/>
      <c r="S83" s="694"/>
      <c r="T83" s="694"/>
      <c r="U83" s="694"/>
    </row>
    <row r="84" spans="1:22">
      <c r="A84" s="697" t="s">
        <v>1100</v>
      </c>
      <c r="B84" s="698"/>
      <c r="C84" s="783">
        <v>0.13600000000000001</v>
      </c>
      <c r="D84" s="701">
        <f>B84*'Emission Factors'!$D$764/1000</f>
        <v>0</v>
      </c>
      <c r="E84" s="695"/>
      <c r="F84" s="695"/>
      <c r="H84" s="694"/>
      <c r="I84" s="694"/>
      <c r="K84" s="696"/>
      <c r="N84" s="696"/>
      <c r="R84" s="694"/>
      <c r="S84" s="694"/>
      <c r="T84" s="694"/>
      <c r="U84" s="694"/>
    </row>
    <row r="85" spans="1:22">
      <c r="A85" s="697" t="s">
        <v>1101</v>
      </c>
      <c r="B85" s="698"/>
      <c r="C85" s="783">
        <v>1.2508482416231228E-2</v>
      </c>
      <c r="D85" s="701">
        <f>B85*'Emission Factors'!$D$765/1000</f>
        <v>0</v>
      </c>
      <c r="F85" s="694"/>
      <c r="H85" s="694"/>
      <c r="I85" s="694"/>
      <c r="L85" s="694"/>
    </row>
    <row r="86" spans="1:22">
      <c r="A86" s="697" t="s">
        <v>1102</v>
      </c>
      <c r="B86" s="698"/>
      <c r="C86" s="783">
        <v>0.1111722908844396</v>
      </c>
      <c r="D86" s="701">
        <f>B86*'Emission Factors'!$D$766/1000</f>
        <v>0</v>
      </c>
      <c r="F86" s="694"/>
      <c r="H86" s="694"/>
      <c r="I86" s="694"/>
      <c r="L86" s="694"/>
    </row>
    <row r="87" spans="1:22">
      <c r="A87" s="981" t="s">
        <v>1098</v>
      </c>
      <c r="F87" s="694"/>
      <c r="H87" s="694"/>
      <c r="I87" s="694"/>
      <c r="L87" s="694"/>
    </row>
    <row r="88" spans="1:22">
      <c r="F88" s="694"/>
      <c r="H88" s="694"/>
      <c r="I88" s="694"/>
      <c r="L88" s="694"/>
    </row>
    <row r="89" spans="1:22">
      <c r="F89" s="694"/>
      <c r="H89" s="694"/>
      <c r="I89" s="694"/>
      <c r="L89" s="694"/>
    </row>
    <row r="90" spans="1:22" ht="36">
      <c r="A90" s="1993" t="s">
        <v>166</v>
      </c>
      <c r="B90" s="1994"/>
      <c r="C90" s="1994"/>
      <c r="D90" s="1994"/>
      <c r="E90" s="1994"/>
      <c r="F90" s="1994"/>
      <c r="G90" s="1994"/>
      <c r="H90" s="1994"/>
      <c r="I90" s="1994"/>
      <c r="J90" s="1994"/>
      <c r="K90" s="1994"/>
      <c r="L90" s="1994"/>
      <c r="M90" s="1994"/>
      <c r="N90" s="1994"/>
      <c r="O90" s="1994"/>
      <c r="P90" s="1994"/>
      <c r="Q90" s="1994"/>
      <c r="R90" s="1994"/>
    </row>
    <row r="91" spans="1:22" ht="16.5" thickBot="1">
      <c r="F91" s="694"/>
      <c r="H91" s="694"/>
      <c r="I91" s="694"/>
      <c r="L91" s="694"/>
    </row>
    <row r="92" spans="1:22" ht="56.25">
      <c r="A92" s="692" t="s">
        <v>1103</v>
      </c>
      <c r="B92" s="692" t="s">
        <v>1104</v>
      </c>
      <c r="C92" s="692" t="s">
        <v>1105</v>
      </c>
      <c r="D92" s="692" t="s">
        <v>1106</v>
      </c>
      <c r="E92" s="692" t="s">
        <v>1107</v>
      </c>
      <c r="F92" s="693" t="s">
        <v>702</v>
      </c>
      <c r="H92" s="694"/>
      <c r="I92" s="694"/>
      <c r="L92" s="694"/>
      <c r="M92" s="694"/>
      <c r="R92" s="695"/>
      <c r="S92" s="696"/>
      <c r="V92" s="695"/>
    </row>
    <row r="93" spans="1:22">
      <c r="A93" s="697" t="s">
        <v>185</v>
      </c>
      <c r="B93" s="698"/>
      <c r="C93" s="699"/>
      <c r="D93" s="700" t="str">
        <f>IFERROR(B93/C93," ")</f>
        <v xml:space="preserve"> </v>
      </c>
      <c r="E93" s="706">
        <f>'Emission Factors'!D838</f>
        <v>50</v>
      </c>
      <c r="F93" s="701" t="str">
        <f>IFERROR(D93*E93*0.001," ")</f>
        <v xml:space="preserve"> </v>
      </c>
      <c r="H93" s="694"/>
      <c r="I93" s="694"/>
      <c r="L93" s="694"/>
      <c r="M93" s="694"/>
      <c r="R93" s="695"/>
      <c r="S93" s="696"/>
      <c r="V93" s="695"/>
    </row>
    <row r="94" spans="1:22">
      <c r="A94" s="697" t="s">
        <v>1108</v>
      </c>
      <c r="B94" s="698"/>
      <c r="C94" s="699"/>
      <c r="D94" s="700" t="str">
        <f t="shared" ref="D94:D148" si="0">IFERROR(B94/C94," ")</f>
        <v xml:space="preserve"> </v>
      </c>
      <c r="E94" s="706">
        <f>'Emission Factors'!D839</f>
        <v>38.9</v>
      </c>
      <c r="F94" s="701" t="str">
        <f t="shared" ref="F94:F148" si="1">IFERROR(D94*E94*0.001," ")</f>
        <v xml:space="preserve"> </v>
      </c>
      <c r="H94" s="694"/>
      <c r="I94" s="694"/>
      <c r="L94" s="694"/>
      <c r="M94" s="694"/>
      <c r="R94" s="695"/>
      <c r="S94" s="696"/>
      <c r="V94" s="695"/>
    </row>
    <row r="95" spans="1:22">
      <c r="A95" s="697" t="s">
        <v>1109</v>
      </c>
      <c r="B95" s="698"/>
      <c r="C95" s="699"/>
      <c r="D95" s="700" t="str">
        <f t="shared" si="0"/>
        <v xml:space="preserve"> </v>
      </c>
      <c r="E95" s="706">
        <f>'Emission Factors'!D840</f>
        <v>11.9</v>
      </c>
      <c r="F95" s="701" t="str">
        <f t="shared" si="1"/>
        <v xml:space="preserve"> </v>
      </c>
      <c r="H95" s="694"/>
      <c r="I95" s="694"/>
      <c r="L95" s="694"/>
      <c r="M95" s="694"/>
      <c r="R95" s="695"/>
      <c r="S95" s="696"/>
      <c r="V95" s="695"/>
    </row>
    <row r="96" spans="1:22">
      <c r="A96" s="697" t="s">
        <v>1110</v>
      </c>
      <c r="B96" s="698"/>
      <c r="C96" s="699"/>
      <c r="D96" s="700" t="str">
        <f t="shared" si="0"/>
        <v xml:space="preserve"> </v>
      </c>
      <c r="E96" s="706">
        <f>'Emission Factors'!D841</f>
        <v>11.6</v>
      </c>
      <c r="F96" s="701" t="str">
        <f t="shared" si="1"/>
        <v xml:space="preserve"> </v>
      </c>
      <c r="H96" s="694"/>
      <c r="I96" s="694"/>
      <c r="L96" s="694"/>
      <c r="M96" s="694"/>
      <c r="R96" s="695"/>
      <c r="S96" s="696"/>
      <c r="V96" s="695"/>
    </row>
    <row r="97" spans="1:22">
      <c r="A97" s="697" t="s">
        <v>1111</v>
      </c>
      <c r="B97" s="698"/>
      <c r="C97" s="699"/>
      <c r="D97" s="700" t="str">
        <f t="shared" si="0"/>
        <v xml:space="preserve"> </v>
      </c>
      <c r="E97" s="706">
        <f>'Emission Factors'!D842</f>
        <v>14.9</v>
      </c>
      <c r="F97" s="701" t="str">
        <f t="shared" si="1"/>
        <v xml:space="preserve"> </v>
      </c>
      <c r="H97" s="694"/>
      <c r="I97" s="694"/>
      <c r="L97" s="694"/>
      <c r="M97" s="694"/>
      <c r="R97" s="695"/>
      <c r="S97" s="696"/>
      <c r="V97" s="695"/>
    </row>
    <row r="98" spans="1:22">
      <c r="A98" s="697" t="s">
        <v>1112</v>
      </c>
      <c r="B98" s="698"/>
      <c r="C98" s="699"/>
      <c r="D98" s="700" t="str">
        <f t="shared" si="0"/>
        <v xml:space="preserve"> </v>
      </c>
      <c r="E98" s="706">
        <f>'Emission Factors'!D843</f>
        <v>17.100000000000001</v>
      </c>
      <c r="F98" s="701" t="str">
        <f t="shared" si="1"/>
        <v xml:space="preserve"> </v>
      </c>
      <c r="H98" s="694"/>
      <c r="I98" s="694"/>
      <c r="L98" s="694"/>
      <c r="M98" s="694"/>
      <c r="R98" s="695"/>
      <c r="S98" s="696"/>
      <c r="V98" s="695"/>
    </row>
    <row r="99" spans="1:22">
      <c r="A99" s="697" t="s">
        <v>1113</v>
      </c>
      <c r="B99" s="698"/>
      <c r="C99" s="699"/>
      <c r="D99" s="700" t="str">
        <f t="shared" si="0"/>
        <v xml:space="preserve"> </v>
      </c>
      <c r="E99" s="706">
        <f>'Emission Factors'!D844</f>
        <v>61.1</v>
      </c>
      <c r="F99" s="701" t="str">
        <f t="shared" si="1"/>
        <v xml:space="preserve"> </v>
      </c>
      <c r="H99" s="694"/>
      <c r="I99" s="694"/>
      <c r="L99" s="694"/>
      <c r="M99" s="694"/>
      <c r="R99" s="695"/>
      <c r="S99" s="696"/>
      <c r="V99" s="695"/>
    </row>
    <row r="100" spans="1:22">
      <c r="A100" s="697" t="s">
        <v>722</v>
      </c>
      <c r="B100" s="698"/>
      <c r="C100" s="699"/>
      <c r="D100" s="700" t="str">
        <f t="shared" si="0"/>
        <v xml:space="preserve"> </v>
      </c>
      <c r="E100" s="706">
        <f>'Emission Factors'!D845</f>
        <v>30.8</v>
      </c>
      <c r="F100" s="701" t="str">
        <f t="shared" si="1"/>
        <v xml:space="preserve"> </v>
      </c>
      <c r="H100" s="694"/>
      <c r="I100" s="694"/>
      <c r="L100" s="694"/>
      <c r="M100" s="694"/>
      <c r="R100" s="695"/>
      <c r="S100" s="696"/>
      <c r="V100" s="695"/>
    </row>
    <row r="101" spans="1:22">
      <c r="A101" s="697" t="s">
        <v>1114</v>
      </c>
      <c r="B101" s="698"/>
      <c r="C101" s="699"/>
      <c r="D101" s="700" t="str">
        <f t="shared" si="0"/>
        <v xml:space="preserve"> </v>
      </c>
      <c r="E101" s="706">
        <f>'Emission Factors'!D846</f>
        <v>60.7</v>
      </c>
      <c r="F101" s="701" t="str">
        <f t="shared" si="1"/>
        <v xml:space="preserve"> </v>
      </c>
      <c r="H101" s="694"/>
      <c r="I101" s="694"/>
      <c r="L101" s="694"/>
      <c r="M101" s="694"/>
      <c r="R101" s="695"/>
      <c r="S101" s="696"/>
      <c r="V101" s="695"/>
    </row>
    <row r="102" spans="1:22">
      <c r="A102" s="697" t="s">
        <v>1115</v>
      </c>
      <c r="B102" s="698"/>
      <c r="C102" s="699"/>
      <c r="D102" s="700" t="str">
        <f t="shared" si="0"/>
        <v xml:space="preserve"> </v>
      </c>
      <c r="E102" s="706">
        <f>'Emission Factors'!D847</f>
        <v>11</v>
      </c>
      <c r="F102" s="701" t="str">
        <f t="shared" si="1"/>
        <v xml:space="preserve"> </v>
      </c>
      <c r="H102" s="694"/>
      <c r="I102" s="694"/>
      <c r="L102" s="694"/>
      <c r="M102" s="694"/>
      <c r="R102" s="695"/>
      <c r="S102" s="696"/>
      <c r="V102" s="695"/>
    </row>
    <row r="103" spans="1:22">
      <c r="A103" s="697" t="s">
        <v>1116</v>
      </c>
      <c r="B103" s="698"/>
      <c r="C103" s="699"/>
      <c r="D103" s="700" t="str">
        <f t="shared" si="0"/>
        <v xml:space="preserve"> </v>
      </c>
      <c r="E103" s="706">
        <f>'Emission Factors'!D848</f>
        <v>7</v>
      </c>
      <c r="F103" s="701" t="str">
        <f t="shared" si="1"/>
        <v xml:space="preserve"> </v>
      </c>
      <c r="H103" s="694"/>
      <c r="I103" s="694"/>
      <c r="L103" s="694"/>
      <c r="M103" s="694"/>
      <c r="R103" s="695"/>
      <c r="S103" s="696"/>
      <c r="V103" s="695"/>
    </row>
    <row r="104" spans="1:22">
      <c r="A104" s="697" t="s">
        <v>1117</v>
      </c>
      <c r="B104" s="698"/>
      <c r="C104" s="699"/>
      <c r="D104" s="700" t="str">
        <f t="shared" si="0"/>
        <v xml:space="preserve"> </v>
      </c>
      <c r="E104" s="706">
        <f>'Emission Factors'!D849</f>
        <v>31.8</v>
      </c>
      <c r="F104" s="701" t="str">
        <f t="shared" si="1"/>
        <v xml:space="preserve"> </v>
      </c>
      <c r="H104" s="694"/>
      <c r="I104" s="694"/>
      <c r="L104" s="694"/>
      <c r="M104" s="694"/>
      <c r="R104" s="695"/>
      <c r="S104" s="696"/>
      <c r="V104" s="695"/>
    </row>
    <row r="105" spans="1:22">
      <c r="A105" s="697" t="s">
        <v>1118</v>
      </c>
      <c r="B105" s="698"/>
      <c r="C105" s="699"/>
      <c r="D105" s="700" t="str">
        <f t="shared" si="0"/>
        <v xml:space="preserve"> </v>
      </c>
      <c r="E105" s="706">
        <f>'Emission Factors'!D850</f>
        <v>54</v>
      </c>
      <c r="F105" s="701" t="str">
        <f t="shared" si="1"/>
        <v xml:space="preserve"> </v>
      </c>
      <c r="H105" s="694"/>
      <c r="I105" s="694"/>
      <c r="L105" s="694"/>
      <c r="M105" s="694"/>
      <c r="R105" s="695"/>
      <c r="S105" s="696"/>
      <c r="V105" s="695"/>
    </row>
    <row r="106" spans="1:22">
      <c r="A106" s="697" t="s">
        <v>1119</v>
      </c>
      <c r="B106" s="698"/>
      <c r="C106" s="699"/>
      <c r="D106" s="700" t="str">
        <f t="shared" si="0"/>
        <v xml:space="preserve"> </v>
      </c>
      <c r="E106" s="706">
        <f>'Emission Factors'!D851</f>
        <v>54.8</v>
      </c>
      <c r="F106" s="701" t="str">
        <f t="shared" si="1"/>
        <v xml:space="preserve"> </v>
      </c>
      <c r="H106" s="694"/>
      <c r="I106" s="694"/>
      <c r="L106" s="694"/>
      <c r="M106" s="694"/>
      <c r="R106" s="695"/>
      <c r="S106" s="696"/>
      <c r="V106" s="695"/>
    </row>
    <row r="107" spans="1:22">
      <c r="A107" s="697" t="s">
        <v>1120</v>
      </c>
      <c r="B107" s="698"/>
      <c r="C107" s="699"/>
      <c r="D107" s="700" t="str">
        <f t="shared" si="0"/>
        <v xml:space="preserve"> </v>
      </c>
      <c r="E107" s="706">
        <f>'Emission Factors'!D852</f>
        <v>11.1</v>
      </c>
      <c r="F107" s="701" t="str">
        <f t="shared" si="1"/>
        <v xml:space="preserve"> </v>
      </c>
      <c r="H107" s="694"/>
      <c r="I107" s="694"/>
      <c r="L107" s="694"/>
      <c r="M107" s="694"/>
      <c r="R107" s="695"/>
      <c r="S107" s="696"/>
      <c r="V107" s="695"/>
    </row>
    <row r="108" spans="1:22">
      <c r="A108" s="697" t="s">
        <v>1121</v>
      </c>
      <c r="B108" s="698"/>
      <c r="C108" s="699"/>
      <c r="D108" s="700" t="str">
        <f t="shared" si="0"/>
        <v xml:space="preserve"> </v>
      </c>
      <c r="E108" s="706">
        <f>'Emission Factors'!D853</f>
        <v>7.5</v>
      </c>
      <c r="F108" s="701" t="str">
        <f t="shared" si="1"/>
        <v xml:space="preserve"> </v>
      </c>
      <c r="H108" s="694"/>
      <c r="I108" s="694"/>
      <c r="L108" s="694"/>
      <c r="M108" s="694"/>
      <c r="R108" s="695"/>
      <c r="S108" s="696"/>
      <c r="V108" s="695"/>
    </row>
    <row r="109" spans="1:22">
      <c r="A109" s="697" t="s">
        <v>1122</v>
      </c>
      <c r="B109" s="698"/>
      <c r="C109" s="699"/>
      <c r="D109" s="700" t="str">
        <f t="shared" si="0"/>
        <v xml:space="preserve"> </v>
      </c>
      <c r="E109" s="706">
        <f>'Emission Factors'!D854</f>
        <v>18.2</v>
      </c>
      <c r="F109" s="701" t="str">
        <f t="shared" si="1"/>
        <v xml:space="preserve"> </v>
      </c>
      <c r="H109" s="694"/>
      <c r="I109" s="694"/>
      <c r="L109" s="694"/>
      <c r="M109" s="694"/>
      <c r="R109" s="695"/>
      <c r="S109" s="696"/>
      <c r="V109" s="695"/>
    </row>
    <row r="110" spans="1:22">
      <c r="A110" s="697" t="s">
        <v>1123</v>
      </c>
      <c r="B110" s="698"/>
      <c r="C110" s="699"/>
      <c r="D110" s="700" t="str">
        <f t="shared" si="0"/>
        <v xml:space="preserve"> </v>
      </c>
      <c r="E110" s="706">
        <f>'Emission Factors'!D855</f>
        <v>42.8</v>
      </c>
      <c r="F110" s="701" t="str">
        <f t="shared" si="1"/>
        <v xml:space="preserve"> </v>
      </c>
      <c r="H110" s="694"/>
      <c r="I110" s="694"/>
      <c r="L110" s="694"/>
      <c r="M110" s="694"/>
      <c r="R110" s="695"/>
      <c r="S110" s="696"/>
      <c r="V110" s="695"/>
    </row>
    <row r="111" spans="1:22">
      <c r="A111" s="697" t="s">
        <v>1124</v>
      </c>
      <c r="B111" s="698"/>
      <c r="C111" s="699"/>
      <c r="D111" s="700" t="str">
        <f t="shared" si="0"/>
        <v xml:space="preserve"> </v>
      </c>
      <c r="E111" s="706">
        <f>'Emission Factors'!D856</f>
        <v>66.2</v>
      </c>
      <c r="F111" s="701" t="str">
        <f t="shared" si="1"/>
        <v xml:space="preserve"> </v>
      </c>
      <c r="H111" s="694"/>
      <c r="I111" s="694"/>
      <c r="L111" s="694"/>
      <c r="M111" s="694"/>
      <c r="R111" s="695"/>
      <c r="S111" s="696"/>
      <c r="V111" s="695"/>
    </row>
    <row r="112" spans="1:22">
      <c r="A112" s="697" t="s">
        <v>1125</v>
      </c>
      <c r="B112" s="698"/>
      <c r="C112" s="699"/>
      <c r="D112" s="700" t="str">
        <f t="shared" si="0"/>
        <v xml:space="preserve"> </v>
      </c>
      <c r="E112" s="706">
        <f>'Emission Factors'!D857</f>
        <v>22</v>
      </c>
      <c r="F112" s="701" t="str">
        <f t="shared" si="1"/>
        <v xml:space="preserve"> </v>
      </c>
      <c r="H112" s="694"/>
      <c r="I112" s="694"/>
      <c r="L112" s="694"/>
      <c r="M112" s="694"/>
      <c r="R112" s="695"/>
      <c r="S112" s="696"/>
      <c r="V112" s="695"/>
    </row>
    <row r="113" spans="1:22">
      <c r="A113" s="697" t="s">
        <v>1126</v>
      </c>
      <c r="B113" s="698"/>
      <c r="C113" s="699"/>
      <c r="D113" s="700" t="str">
        <f t="shared" si="0"/>
        <v xml:space="preserve"> </v>
      </c>
      <c r="E113" s="706">
        <f>'Emission Factors'!D858</f>
        <v>66</v>
      </c>
      <c r="F113" s="701" t="str">
        <f t="shared" si="1"/>
        <v xml:space="preserve"> </v>
      </c>
      <c r="H113" s="694"/>
      <c r="I113" s="694"/>
      <c r="L113" s="694"/>
      <c r="M113" s="694"/>
      <c r="R113" s="695"/>
      <c r="S113" s="696"/>
      <c r="V113" s="695"/>
    </row>
    <row r="114" spans="1:22">
      <c r="A114" s="697" t="s">
        <v>1127</v>
      </c>
      <c r="B114" s="698"/>
      <c r="C114" s="699"/>
      <c r="D114" s="700" t="str">
        <f t="shared" si="0"/>
        <v xml:space="preserve"> </v>
      </c>
      <c r="E114" s="706">
        <f>'Emission Factors'!D859</f>
        <v>88.2</v>
      </c>
      <c r="F114" s="701" t="str">
        <f t="shared" si="1"/>
        <v xml:space="preserve"> </v>
      </c>
      <c r="H114" s="694"/>
      <c r="I114" s="694"/>
      <c r="L114" s="694"/>
      <c r="M114" s="694"/>
      <c r="R114" s="695"/>
      <c r="S114" s="696"/>
      <c r="V114" s="695"/>
    </row>
    <row r="115" spans="1:22">
      <c r="A115" s="697" t="s">
        <v>1128</v>
      </c>
      <c r="B115" s="698"/>
      <c r="C115" s="699"/>
      <c r="D115" s="700" t="str">
        <f t="shared" si="0"/>
        <v xml:space="preserve"> </v>
      </c>
      <c r="E115" s="706">
        <f>'Emission Factors'!D860</f>
        <v>23.9</v>
      </c>
      <c r="F115" s="701" t="str">
        <f t="shared" si="1"/>
        <v xml:space="preserve"> </v>
      </c>
      <c r="H115" s="694"/>
      <c r="I115" s="694"/>
      <c r="L115" s="694"/>
      <c r="M115" s="694"/>
      <c r="R115" s="695"/>
      <c r="S115" s="696"/>
      <c r="V115" s="695"/>
    </row>
    <row r="116" spans="1:22">
      <c r="A116" s="697" t="s">
        <v>1129</v>
      </c>
      <c r="B116" s="698"/>
      <c r="C116" s="699"/>
      <c r="D116" s="700" t="str">
        <f t="shared" si="0"/>
        <v xml:space="preserve"> </v>
      </c>
      <c r="E116" s="706">
        <f>'Emission Factors'!D861</f>
        <v>51.8</v>
      </c>
      <c r="F116" s="701" t="str">
        <f t="shared" si="1"/>
        <v xml:space="preserve"> </v>
      </c>
      <c r="H116" s="694"/>
      <c r="I116" s="694"/>
      <c r="L116" s="694"/>
      <c r="M116" s="694"/>
      <c r="R116" s="695"/>
      <c r="S116" s="696"/>
      <c r="V116" s="695"/>
    </row>
    <row r="117" spans="1:22">
      <c r="A117" s="697" t="s">
        <v>1130</v>
      </c>
      <c r="B117" s="698"/>
      <c r="C117" s="699"/>
      <c r="D117" s="700" t="str">
        <f t="shared" si="0"/>
        <v xml:space="preserve"> </v>
      </c>
      <c r="E117" s="706">
        <f>'Emission Factors'!D862</f>
        <v>23.9</v>
      </c>
      <c r="F117" s="701" t="str">
        <f t="shared" si="1"/>
        <v xml:space="preserve"> </v>
      </c>
      <c r="H117" s="694"/>
      <c r="I117" s="694"/>
      <c r="L117" s="694"/>
      <c r="M117" s="694"/>
      <c r="R117" s="695"/>
      <c r="S117" s="696"/>
      <c r="V117" s="695"/>
    </row>
    <row r="118" spans="1:22">
      <c r="A118" s="697" t="s">
        <v>1131</v>
      </c>
      <c r="B118" s="698"/>
      <c r="C118" s="699"/>
      <c r="D118" s="700" t="str">
        <f t="shared" si="0"/>
        <v xml:space="preserve"> </v>
      </c>
      <c r="E118" s="706">
        <f>'Emission Factors'!D863</f>
        <v>54.7</v>
      </c>
      <c r="F118" s="701" t="str">
        <f t="shared" si="1"/>
        <v xml:space="preserve"> </v>
      </c>
      <c r="H118" s="694"/>
      <c r="I118" s="694"/>
      <c r="L118" s="694"/>
      <c r="M118" s="694"/>
      <c r="R118" s="695"/>
      <c r="S118" s="696"/>
      <c r="V118" s="695"/>
    </row>
    <row r="119" spans="1:22">
      <c r="A119" s="697" t="s">
        <v>1132</v>
      </c>
      <c r="B119" s="698"/>
      <c r="C119" s="699"/>
      <c r="D119" s="700" t="str">
        <f t="shared" si="0"/>
        <v xml:space="preserve"> </v>
      </c>
      <c r="E119" s="706">
        <f>'Emission Factors'!D864</f>
        <v>64.5</v>
      </c>
      <c r="F119" s="701" t="str">
        <f t="shared" si="1"/>
        <v xml:space="preserve"> </v>
      </c>
      <c r="H119" s="694"/>
      <c r="I119" s="694"/>
      <c r="L119" s="694"/>
      <c r="M119" s="694"/>
      <c r="R119" s="695"/>
      <c r="S119" s="696"/>
      <c r="V119" s="695"/>
    </row>
    <row r="120" spans="1:22">
      <c r="A120" s="697" t="s">
        <v>1133</v>
      </c>
      <c r="B120" s="698"/>
      <c r="C120" s="699"/>
      <c r="D120" s="700" t="str">
        <f t="shared" si="0"/>
        <v xml:space="preserve"> </v>
      </c>
      <c r="E120" s="706">
        <f>'Emission Factors'!D865</f>
        <v>105.7</v>
      </c>
      <c r="F120" s="701" t="str">
        <f t="shared" si="1"/>
        <v xml:space="preserve"> </v>
      </c>
      <c r="H120" s="694"/>
      <c r="I120" s="694"/>
      <c r="L120" s="694"/>
      <c r="M120" s="694"/>
      <c r="R120" s="695"/>
      <c r="S120" s="696"/>
      <c r="V120" s="695"/>
    </row>
    <row r="121" spans="1:22">
      <c r="A121" s="697" t="s">
        <v>1134</v>
      </c>
      <c r="B121" s="698"/>
      <c r="C121" s="699"/>
      <c r="D121" s="700" t="str">
        <f t="shared" si="0"/>
        <v xml:space="preserve"> </v>
      </c>
      <c r="E121" s="706">
        <f>'Emission Factors'!D866</f>
        <v>68.099999999999994</v>
      </c>
      <c r="F121" s="701" t="str">
        <f t="shared" si="1"/>
        <v xml:space="preserve"> </v>
      </c>
      <c r="H121" s="694"/>
      <c r="I121" s="694"/>
      <c r="L121" s="694"/>
      <c r="M121" s="694"/>
      <c r="R121" s="695"/>
      <c r="S121" s="696"/>
      <c r="V121" s="695"/>
    </row>
    <row r="122" spans="1:22">
      <c r="A122" s="697" t="s">
        <v>1135</v>
      </c>
      <c r="B122" s="698"/>
      <c r="C122" s="699"/>
      <c r="D122" s="700" t="str">
        <f t="shared" si="0"/>
        <v xml:space="preserve"> </v>
      </c>
      <c r="E122" s="706">
        <f>'Emission Factors'!D867</f>
        <v>80.3</v>
      </c>
      <c r="F122" s="701" t="str">
        <f t="shared" si="1"/>
        <v xml:space="preserve"> </v>
      </c>
      <c r="H122" s="694"/>
      <c r="I122" s="694"/>
      <c r="L122" s="694"/>
      <c r="M122" s="694"/>
      <c r="R122" s="695"/>
      <c r="S122" s="696"/>
      <c r="V122" s="695"/>
    </row>
    <row r="123" spans="1:22">
      <c r="A123" s="697" t="s">
        <v>1136</v>
      </c>
      <c r="B123" s="698"/>
      <c r="C123" s="699"/>
      <c r="D123" s="700" t="str">
        <f t="shared" si="0"/>
        <v xml:space="preserve"> </v>
      </c>
      <c r="E123" s="706">
        <f>'Emission Factors'!D868</f>
        <v>176.5</v>
      </c>
      <c r="F123" s="701" t="str">
        <f t="shared" si="1"/>
        <v xml:space="preserve"> </v>
      </c>
      <c r="H123" s="694"/>
      <c r="I123" s="694"/>
      <c r="L123" s="694"/>
      <c r="M123" s="694"/>
      <c r="R123" s="695"/>
      <c r="S123" s="696"/>
      <c r="V123" s="695"/>
    </row>
    <row r="124" spans="1:22">
      <c r="A124" s="697" t="s">
        <v>1137</v>
      </c>
      <c r="B124" s="698"/>
      <c r="C124" s="699"/>
      <c r="D124" s="700" t="str">
        <f t="shared" si="0"/>
        <v xml:space="preserve"> </v>
      </c>
      <c r="E124" s="706">
        <f>'Emission Factors'!D869</f>
        <v>27</v>
      </c>
      <c r="F124" s="701" t="str">
        <f t="shared" si="1"/>
        <v xml:space="preserve"> </v>
      </c>
      <c r="H124" s="694"/>
      <c r="I124" s="694"/>
      <c r="L124" s="694"/>
      <c r="M124" s="694"/>
      <c r="R124" s="695"/>
      <c r="S124" s="696"/>
      <c r="V124" s="695"/>
    </row>
    <row r="125" spans="1:22">
      <c r="A125" s="697" t="s">
        <v>1138</v>
      </c>
      <c r="B125" s="698"/>
      <c r="C125" s="699"/>
      <c r="D125" s="700" t="str">
        <f t="shared" si="0"/>
        <v xml:space="preserve"> </v>
      </c>
      <c r="E125" s="706">
        <f>'Emission Factors'!D870</f>
        <v>104</v>
      </c>
      <c r="F125" s="701" t="str">
        <f t="shared" si="1"/>
        <v xml:space="preserve"> </v>
      </c>
      <c r="H125" s="694"/>
      <c r="I125" s="694"/>
      <c r="L125" s="694"/>
      <c r="M125" s="694"/>
      <c r="R125" s="695"/>
      <c r="S125" s="696"/>
      <c r="V125" s="695"/>
    </row>
    <row r="126" spans="1:22">
      <c r="A126" s="697" t="s">
        <v>1139</v>
      </c>
      <c r="B126" s="698"/>
      <c r="C126" s="699"/>
      <c r="D126" s="700" t="str">
        <f t="shared" si="0"/>
        <v xml:space="preserve"> </v>
      </c>
      <c r="E126" s="706">
        <f>'Emission Factors'!D871</f>
        <v>21.2</v>
      </c>
      <c r="F126" s="701" t="str">
        <f t="shared" si="1"/>
        <v xml:space="preserve"> </v>
      </c>
      <c r="H126" s="694"/>
      <c r="I126" s="694"/>
      <c r="L126" s="694"/>
      <c r="M126" s="694"/>
      <c r="R126" s="695"/>
      <c r="S126" s="696"/>
      <c r="V126" s="695"/>
    </row>
    <row r="127" spans="1:22">
      <c r="A127" s="697" t="s">
        <v>1140</v>
      </c>
      <c r="B127" s="698"/>
      <c r="C127" s="699"/>
      <c r="D127" s="700" t="str">
        <f t="shared" si="0"/>
        <v xml:space="preserve"> </v>
      </c>
      <c r="E127" s="706">
        <f>'Emission Factors'!D872</f>
        <v>9.4</v>
      </c>
      <c r="F127" s="701" t="str">
        <f t="shared" si="1"/>
        <v xml:space="preserve"> </v>
      </c>
      <c r="H127" s="694"/>
      <c r="I127" s="694"/>
      <c r="L127" s="694"/>
      <c r="M127" s="694"/>
      <c r="R127" s="695"/>
      <c r="S127" s="696"/>
      <c r="V127" s="695"/>
    </row>
    <row r="128" spans="1:22">
      <c r="A128" s="697" t="s">
        <v>1141</v>
      </c>
      <c r="B128" s="698"/>
      <c r="C128" s="699"/>
      <c r="D128" s="700" t="str">
        <f t="shared" si="0"/>
        <v xml:space="preserve"> </v>
      </c>
      <c r="E128" s="706">
        <f>'Emission Factors'!D873</f>
        <v>117.3</v>
      </c>
      <c r="F128" s="701" t="str">
        <f t="shared" si="1"/>
        <v xml:space="preserve"> </v>
      </c>
      <c r="H128" s="694"/>
      <c r="I128" s="694"/>
      <c r="L128" s="694"/>
      <c r="M128" s="694"/>
      <c r="R128" s="695"/>
      <c r="S128" s="696"/>
      <c r="V128" s="695"/>
    </row>
    <row r="129" spans="1:22">
      <c r="A129" s="697" t="s">
        <v>1142</v>
      </c>
      <c r="B129" s="698"/>
      <c r="C129" s="699"/>
      <c r="D129" s="700" t="str">
        <f t="shared" si="0"/>
        <v xml:space="preserve"> </v>
      </c>
      <c r="E129" s="706">
        <f>'Emission Factors'!D874</f>
        <v>23.7</v>
      </c>
      <c r="F129" s="701" t="str">
        <f t="shared" si="1"/>
        <v xml:space="preserve"> </v>
      </c>
      <c r="H129" s="694"/>
      <c r="I129" s="694"/>
      <c r="L129" s="694"/>
      <c r="M129" s="694"/>
      <c r="R129" s="695"/>
      <c r="S129" s="696"/>
      <c r="V129" s="695"/>
    </row>
    <row r="130" spans="1:22">
      <c r="A130" s="697" t="s">
        <v>723</v>
      </c>
      <c r="B130" s="698"/>
      <c r="C130" s="699"/>
      <c r="D130" s="700" t="str">
        <f t="shared" si="0"/>
        <v xml:space="preserve"> </v>
      </c>
      <c r="E130" s="706">
        <f>'Emission Factors'!D875</f>
        <v>29.9</v>
      </c>
      <c r="F130" s="701" t="str">
        <f t="shared" si="1"/>
        <v xml:space="preserve"> </v>
      </c>
      <c r="H130" s="694"/>
      <c r="I130" s="694"/>
      <c r="L130" s="694"/>
      <c r="M130" s="694"/>
      <c r="R130" s="695"/>
      <c r="S130" s="696"/>
      <c r="V130" s="695"/>
    </row>
    <row r="131" spans="1:22">
      <c r="A131" s="697" t="s">
        <v>1143</v>
      </c>
      <c r="B131" s="698"/>
      <c r="C131" s="699"/>
      <c r="D131" s="700" t="str">
        <f t="shared" si="0"/>
        <v xml:space="preserve"> </v>
      </c>
      <c r="E131" s="706">
        <f>'Emission Factors'!D876</f>
        <v>62.9</v>
      </c>
      <c r="F131" s="701" t="str">
        <f t="shared" si="1"/>
        <v xml:space="preserve"> </v>
      </c>
      <c r="H131" s="694"/>
      <c r="I131" s="694"/>
      <c r="L131" s="694"/>
      <c r="M131" s="694"/>
      <c r="R131" s="695"/>
      <c r="S131" s="696"/>
      <c r="V131" s="695"/>
    </row>
    <row r="132" spans="1:22">
      <c r="A132" s="697" t="s">
        <v>1144</v>
      </c>
      <c r="B132" s="698"/>
      <c r="C132" s="699"/>
      <c r="D132" s="700" t="str">
        <f t="shared" si="0"/>
        <v xml:space="preserve"> </v>
      </c>
      <c r="E132" s="706">
        <f>'Emission Factors'!D877</f>
        <v>35.799999999999997</v>
      </c>
      <c r="F132" s="701" t="str">
        <f t="shared" si="1"/>
        <v xml:space="preserve"> </v>
      </c>
      <c r="H132" s="694"/>
      <c r="I132" s="694"/>
      <c r="L132" s="694"/>
      <c r="M132" s="694"/>
      <c r="R132" s="695"/>
      <c r="S132" s="696"/>
      <c r="V132" s="695"/>
    </row>
    <row r="133" spans="1:22">
      <c r="A133" s="697" t="s">
        <v>1145</v>
      </c>
      <c r="B133" s="698"/>
      <c r="C133" s="699"/>
      <c r="D133" s="700" t="str">
        <f t="shared" si="0"/>
        <v xml:space="preserve"> </v>
      </c>
      <c r="E133" s="706">
        <f>'Emission Factors'!D878</f>
        <v>27.2</v>
      </c>
      <c r="F133" s="701" t="str">
        <f t="shared" si="1"/>
        <v xml:space="preserve"> </v>
      </c>
      <c r="H133" s="694"/>
      <c r="I133" s="694"/>
      <c r="L133" s="694"/>
      <c r="M133" s="694"/>
      <c r="R133" s="695"/>
      <c r="S133" s="696"/>
      <c r="V133" s="695"/>
    </row>
    <row r="134" spans="1:22">
      <c r="A134" s="697" t="s">
        <v>1146</v>
      </c>
      <c r="B134" s="698"/>
      <c r="C134" s="699"/>
      <c r="D134" s="700" t="str">
        <f t="shared" si="0"/>
        <v xml:space="preserve"> </v>
      </c>
      <c r="E134" s="706">
        <f>'Emission Factors'!D879</f>
        <v>104.9</v>
      </c>
      <c r="F134" s="701" t="str">
        <f t="shared" si="1"/>
        <v xml:space="preserve"> </v>
      </c>
      <c r="H134" s="694"/>
      <c r="I134" s="694"/>
      <c r="L134" s="694"/>
      <c r="M134" s="694"/>
      <c r="R134" s="695"/>
      <c r="S134" s="696"/>
      <c r="V134" s="695"/>
    </row>
    <row r="135" spans="1:22">
      <c r="A135" s="697" t="s">
        <v>1147</v>
      </c>
      <c r="B135" s="698"/>
      <c r="C135" s="699"/>
      <c r="D135" s="700" t="str">
        <f t="shared" si="0"/>
        <v xml:space="preserve"> </v>
      </c>
      <c r="E135" s="706">
        <f>'Emission Factors'!D880</f>
        <v>25.5</v>
      </c>
      <c r="F135" s="701" t="str">
        <f t="shared" si="1"/>
        <v xml:space="preserve"> </v>
      </c>
      <c r="H135" s="694"/>
      <c r="I135" s="694"/>
      <c r="L135" s="694"/>
      <c r="M135" s="694"/>
      <c r="R135" s="695"/>
      <c r="S135" s="696"/>
      <c r="V135" s="695"/>
    </row>
    <row r="136" spans="1:22">
      <c r="A136" s="697" t="s">
        <v>1148</v>
      </c>
      <c r="B136" s="698"/>
      <c r="C136" s="699"/>
      <c r="D136" s="700" t="str">
        <f t="shared" si="0"/>
        <v xml:space="preserve"> </v>
      </c>
      <c r="E136" s="706">
        <f>'Emission Factors'!D881</f>
        <v>30.9</v>
      </c>
      <c r="F136" s="701" t="str">
        <f t="shared" si="1"/>
        <v xml:space="preserve"> </v>
      </c>
      <c r="H136" s="694"/>
      <c r="I136" s="694"/>
      <c r="L136" s="694"/>
      <c r="M136" s="694"/>
      <c r="R136" s="695"/>
      <c r="S136" s="696"/>
      <c r="V136" s="695"/>
    </row>
    <row r="137" spans="1:22">
      <c r="A137" s="697" t="s">
        <v>1149</v>
      </c>
      <c r="B137" s="698"/>
      <c r="C137" s="699"/>
      <c r="D137" s="700" t="str">
        <f t="shared" si="0"/>
        <v xml:space="preserve"> </v>
      </c>
      <c r="E137" s="706">
        <f>'Emission Factors'!D882</f>
        <v>112.5</v>
      </c>
      <c r="F137" s="701" t="str">
        <f t="shared" si="1"/>
        <v xml:space="preserve"> </v>
      </c>
      <c r="H137" s="694"/>
      <c r="I137" s="694"/>
      <c r="L137" s="694"/>
      <c r="M137" s="694"/>
      <c r="R137" s="695"/>
      <c r="S137" s="696"/>
      <c r="V137" s="695"/>
    </row>
    <row r="138" spans="1:22">
      <c r="A138" s="697" t="s">
        <v>1150</v>
      </c>
      <c r="B138" s="698"/>
      <c r="C138" s="699"/>
      <c r="D138" s="700" t="str">
        <f t="shared" si="0"/>
        <v xml:space="preserve"> </v>
      </c>
      <c r="E138" s="706">
        <f>'Emission Factors'!D883</f>
        <v>28.5</v>
      </c>
      <c r="F138" s="701" t="str">
        <f t="shared" si="1"/>
        <v xml:space="preserve"> </v>
      </c>
      <c r="H138" s="694"/>
      <c r="I138" s="694"/>
      <c r="L138" s="694"/>
      <c r="M138" s="694"/>
      <c r="R138" s="695"/>
      <c r="S138" s="696"/>
      <c r="V138" s="695"/>
    </row>
    <row r="139" spans="1:22">
      <c r="A139" s="697" t="s">
        <v>1151</v>
      </c>
      <c r="B139" s="698"/>
      <c r="C139" s="699"/>
      <c r="D139" s="700" t="str">
        <f t="shared" si="0"/>
        <v xml:space="preserve"> </v>
      </c>
      <c r="E139" s="706">
        <f>'Emission Factors'!D884</f>
        <v>56.6</v>
      </c>
      <c r="F139" s="701" t="str">
        <f t="shared" si="1"/>
        <v xml:space="preserve"> </v>
      </c>
      <c r="H139" s="694"/>
      <c r="I139" s="694"/>
      <c r="L139" s="694"/>
      <c r="M139" s="694"/>
      <c r="R139" s="695"/>
      <c r="S139" s="696"/>
      <c r="V139" s="695"/>
    </row>
    <row r="140" spans="1:22">
      <c r="A140" s="697" t="s">
        <v>1152</v>
      </c>
      <c r="B140" s="698"/>
      <c r="C140" s="699"/>
      <c r="D140" s="700" t="str">
        <f t="shared" si="0"/>
        <v xml:space="preserve"> </v>
      </c>
      <c r="E140" s="706">
        <f>'Emission Factors'!D885</f>
        <v>56.5</v>
      </c>
      <c r="F140" s="701" t="str">
        <f t="shared" si="1"/>
        <v xml:space="preserve"> </v>
      </c>
      <c r="H140" s="694"/>
      <c r="I140" s="694"/>
      <c r="L140" s="694"/>
      <c r="M140" s="694"/>
      <c r="R140" s="695"/>
      <c r="S140" s="696"/>
      <c r="V140" s="695"/>
    </row>
    <row r="141" spans="1:22">
      <c r="A141" s="697" t="s">
        <v>1153</v>
      </c>
      <c r="B141" s="698"/>
      <c r="C141" s="699"/>
      <c r="D141" s="700" t="str">
        <f t="shared" si="0"/>
        <v xml:space="preserve"> </v>
      </c>
      <c r="E141" s="706">
        <f>'Emission Factors'!D886</f>
        <v>16.3</v>
      </c>
      <c r="F141" s="701" t="str">
        <f t="shared" si="1"/>
        <v xml:space="preserve"> </v>
      </c>
      <c r="H141" s="694"/>
      <c r="I141" s="694"/>
      <c r="L141" s="694"/>
      <c r="M141" s="694"/>
      <c r="R141" s="695"/>
      <c r="S141" s="696"/>
      <c r="V141" s="695"/>
    </row>
    <row r="142" spans="1:22">
      <c r="A142" s="697" t="s">
        <v>1154</v>
      </c>
      <c r="B142" s="698"/>
      <c r="C142" s="699"/>
      <c r="D142" s="700" t="str">
        <f t="shared" si="0"/>
        <v xml:space="preserve"> </v>
      </c>
      <c r="E142" s="706">
        <f>'Emission Factors'!D887</f>
        <v>7.4</v>
      </c>
      <c r="F142" s="701" t="str">
        <f t="shared" si="1"/>
        <v xml:space="preserve"> </v>
      </c>
      <c r="H142" s="694"/>
      <c r="I142" s="694"/>
      <c r="L142" s="694"/>
      <c r="M142" s="694"/>
      <c r="R142" s="695"/>
      <c r="S142" s="696"/>
      <c r="V142" s="695"/>
    </row>
    <row r="143" spans="1:22">
      <c r="A143" s="697" t="s">
        <v>1155</v>
      </c>
      <c r="B143" s="698"/>
      <c r="C143" s="699"/>
      <c r="D143" s="700" t="str">
        <f t="shared" si="0"/>
        <v xml:space="preserve"> </v>
      </c>
      <c r="E143" s="706">
        <f>'Emission Factors'!D888</f>
        <v>55.9</v>
      </c>
      <c r="F143" s="701" t="str">
        <f t="shared" si="1"/>
        <v xml:space="preserve"> </v>
      </c>
      <c r="H143" s="694"/>
      <c r="I143" s="694"/>
      <c r="L143" s="694"/>
      <c r="M143" s="694"/>
      <c r="R143" s="695"/>
      <c r="S143" s="696"/>
      <c r="V143" s="695"/>
    </row>
    <row r="144" spans="1:22">
      <c r="A144" s="697" t="s">
        <v>1156</v>
      </c>
      <c r="B144" s="698"/>
      <c r="C144" s="699"/>
      <c r="D144" s="700" t="str">
        <f t="shared" si="0"/>
        <v xml:space="preserve"> </v>
      </c>
      <c r="E144" s="706">
        <f>'Emission Factors'!D889</f>
        <v>38</v>
      </c>
      <c r="F144" s="701" t="str">
        <f t="shared" si="1"/>
        <v xml:space="preserve"> </v>
      </c>
      <c r="H144" s="694"/>
      <c r="I144" s="694"/>
      <c r="L144" s="694"/>
      <c r="M144" s="694"/>
      <c r="R144" s="695"/>
      <c r="S144" s="696"/>
      <c r="V144" s="695"/>
    </row>
    <row r="145" spans="1:22">
      <c r="A145" s="697" t="s">
        <v>1157</v>
      </c>
      <c r="B145" s="698"/>
      <c r="C145" s="699"/>
      <c r="D145" s="700" t="str">
        <f t="shared" si="0"/>
        <v xml:space="preserve"> </v>
      </c>
      <c r="E145" s="706">
        <f>'Emission Factors'!D890</f>
        <v>95.9</v>
      </c>
      <c r="F145" s="701" t="str">
        <f t="shared" si="1"/>
        <v xml:space="preserve"> </v>
      </c>
      <c r="H145" s="694"/>
      <c r="I145" s="694"/>
      <c r="L145" s="694"/>
      <c r="M145" s="694"/>
      <c r="R145" s="695"/>
      <c r="S145" s="696"/>
      <c r="V145" s="695"/>
    </row>
    <row r="146" spans="1:22">
      <c r="A146" s="697" t="s">
        <v>1158</v>
      </c>
      <c r="B146" s="698"/>
      <c r="C146" s="699"/>
      <c r="D146" s="700" t="str">
        <f t="shared" si="0"/>
        <v xml:space="preserve"> </v>
      </c>
      <c r="E146" s="706">
        <f>'Emission Factors'!D891</f>
        <v>13.4</v>
      </c>
      <c r="F146" s="701" t="str">
        <f t="shared" si="1"/>
        <v xml:space="preserve"> </v>
      </c>
      <c r="H146" s="694"/>
      <c r="I146" s="694"/>
      <c r="L146" s="694"/>
      <c r="M146" s="694"/>
      <c r="R146" s="695"/>
      <c r="S146" s="696"/>
      <c r="V146" s="695"/>
    </row>
    <row r="147" spans="1:22">
      <c r="A147" s="697" t="s">
        <v>1159</v>
      </c>
      <c r="B147" s="698"/>
      <c r="C147" s="699"/>
      <c r="D147" s="700" t="str">
        <f t="shared" si="0"/>
        <v xml:space="preserve"> </v>
      </c>
      <c r="E147" s="706">
        <f>'Emission Factors'!D892</f>
        <v>19.8</v>
      </c>
      <c r="F147" s="701" t="str">
        <f t="shared" si="1"/>
        <v xml:space="preserve"> </v>
      </c>
      <c r="H147" s="694"/>
      <c r="I147" s="694"/>
      <c r="L147" s="694"/>
      <c r="M147" s="694"/>
      <c r="R147" s="695"/>
      <c r="S147" s="696"/>
      <c r="V147" s="695"/>
    </row>
    <row r="148" spans="1:22" ht="16.5" thickBot="1">
      <c r="A148" s="697" t="s">
        <v>1160</v>
      </c>
      <c r="B148" s="698"/>
      <c r="C148" s="699"/>
      <c r="D148" s="700" t="str">
        <f t="shared" si="0"/>
        <v xml:space="preserve"> </v>
      </c>
      <c r="E148" s="706">
        <f>'Emission Factors'!D893</f>
        <v>49.2</v>
      </c>
      <c r="F148" s="701" t="str">
        <f t="shared" si="1"/>
        <v xml:space="preserve"> </v>
      </c>
      <c r="H148" s="694"/>
      <c r="I148" s="694"/>
      <c r="L148" s="694"/>
      <c r="M148" s="694"/>
      <c r="R148" s="695"/>
      <c r="S148" s="696"/>
      <c r="V148" s="695"/>
    </row>
    <row r="149" spans="1:22" ht="16.5" thickBot="1">
      <c r="E149" s="702" t="s">
        <v>434</v>
      </c>
      <c r="F149" s="703">
        <f>SUM(F137:F148)</f>
        <v>0</v>
      </c>
      <c r="H149" s="694"/>
      <c r="I149" s="694"/>
      <c r="L149" s="694"/>
    </row>
    <row r="150" spans="1:22">
      <c r="F150" s="694"/>
      <c r="H150" s="694"/>
      <c r="I150" s="694"/>
      <c r="L150" s="694"/>
    </row>
    <row r="151" spans="1:22">
      <c r="F151" s="694"/>
      <c r="H151" s="694"/>
      <c r="I151" s="694"/>
      <c r="L151" s="694"/>
    </row>
    <row r="152" spans="1:22">
      <c r="F152" s="694"/>
      <c r="H152" s="694"/>
      <c r="I152" s="694"/>
      <c r="L152" s="694"/>
    </row>
    <row r="153" spans="1:22">
      <c r="F153" s="694"/>
      <c r="H153" s="694"/>
      <c r="I153" s="694"/>
      <c r="L153" s="694"/>
    </row>
    <row r="154" spans="1:22">
      <c r="F154" s="694"/>
      <c r="H154" s="694"/>
      <c r="I154" s="694"/>
      <c r="L154" s="694"/>
    </row>
    <row r="155" spans="1:22">
      <c r="F155" s="694"/>
      <c r="H155" s="694"/>
      <c r="I155" s="694"/>
      <c r="L155" s="694"/>
    </row>
    <row r="156" spans="1:22">
      <c r="F156" s="694"/>
      <c r="H156" s="694"/>
      <c r="I156" s="694"/>
      <c r="L156" s="694"/>
    </row>
    <row r="157" spans="1:22">
      <c r="F157" s="694"/>
      <c r="H157" s="694"/>
      <c r="I157" s="694"/>
      <c r="L157" s="694"/>
    </row>
    <row r="158" spans="1:22">
      <c r="F158" s="694"/>
      <c r="H158" s="694"/>
      <c r="I158" s="694"/>
      <c r="L158" s="694"/>
    </row>
    <row r="159" spans="1:22">
      <c r="F159" s="694"/>
      <c r="H159" s="694"/>
      <c r="I159" s="694"/>
      <c r="L159" s="694"/>
    </row>
    <row r="160" spans="1:22">
      <c r="F160" s="694"/>
      <c r="H160" s="694"/>
      <c r="I160" s="694"/>
      <c r="L160" s="694"/>
    </row>
    <row r="161" spans="6:12">
      <c r="F161" s="694"/>
      <c r="H161" s="694"/>
      <c r="I161" s="694"/>
      <c r="L161" s="694"/>
    </row>
    <row r="162" spans="6:12">
      <c r="F162" s="694"/>
      <c r="H162" s="694"/>
      <c r="I162" s="694"/>
      <c r="L162" s="694"/>
    </row>
    <row r="163" spans="6:12">
      <c r="F163" s="694"/>
      <c r="H163" s="694"/>
      <c r="I163" s="694"/>
      <c r="L163" s="694"/>
    </row>
    <row r="164" spans="6:12">
      <c r="F164" s="694"/>
      <c r="H164" s="694"/>
      <c r="I164" s="694"/>
      <c r="L164" s="694"/>
    </row>
    <row r="165" spans="6:12">
      <c r="F165" s="694"/>
      <c r="H165" s="694"/>
      <c r="I165" s="694"/>
      <c r="L165" s="694"/>
    </row>
    <row r="166" spans="6:12">
      <c r="F166" s="694"/>
      <c r="H166" s="694"/>
      <c r="I166" s="694"/>
      <c r="L166" s="694"/>
    </row>
    <row r="167" spans="6:12">
      <c r="F167" s="694"/>
      <c r="H167" s="694"/>
      <c r="I167" s="694"/>
      <c r="L167" s="694"/>
    </row>
    <row r="168" spans="6:12">
      <c r="F168" s="694"/>
      <c r="H168" s="694"/>
      <c r="I168" s="694"/>
      <c r="L168" s="694"/>
    </row>
    <row r="169" spans="6:12">
      <c r="F169" s="694"/>
      <c r="H169" s="694"/>
      <c r="I169" s="694"/>
      <c r="L169" s="694"/>
    </row>
    <row r="170" spans="6:12">
      <c r="F170" s="694"/>
      <c r="H170" s="694"/>
      <c r="I170" s="694"/>
      <c r="L170" s="694"/>
    </row>
    <row r="171" spans="6:12">
      <c r="F171" s="694"/>
      <c r="H171" s="694"/>
      <c r="I171" s="694"/>
      <c r="L171" s="694"/>
    </row>
    <row r="172" spans="6:12">
      <c r="F172" s="694"/>
      <c r="H172" s="694"/>
      <c r="I172" s="694"/>
      <c r="L172" s="694"/>
    </row>
    <row r="173" spans="6:12">
      <c r="F173" s="694"/>
      <c r="H173" s="694"/>
      <c r="I173" s="694"/>
      <c r="L173" s="694"/>
    </row>
    <row r="174" spans="6:12">
      <c r="F174" s="694"/>
      <c r="H174" s="694"/>
      <c r="I174" s="694"/>
      <c r="L174" s="694"/>
    </row>
    <row r="175" spans="6:12">
      <c r="F175" s="694"/>
      <c r="H175" s="694"/>
      <c r="I175" s="694"/>
      <c r="L175" s="694"/>
    </row>
    <row r="176" spans="6:12">
      <c r="F176" s="694"/>
      <c r="H176" s="694"/>
      <c r="I176" s="694"/>
      <c r="L176" s="694"/>
    </row>
    <row r="177" spans="6:12">
      <c r="F177" s="694"/>
      <c r="H177" s="694"/>
      <c r="I177" s="694"/>
      <c r="L177" s="694"/>
    </row>
    <row r="178" spans="6:12">
      <c r="F178" s="694"/>
      <c r="H178" s="694"/>
      <c r="I178" s="694"/>
      <c r="L178" s="694"/>
    </row>
    <row r="179" spans="6:12">
      <c r="F179" s="694"/>
      <c r="H179" s="694"/>
      <c r="I179" s="694"/>
      <c r="L179" s="694"/>
    </row>
    <row r="180" spans="6:12">
      <c r="F180" s="694"/>
      <c r="H180" s="694"/>
      <c r="I180" s="694"/>
      <c r="L180" s="694"/>
    </row>
    <row r="181" spans="6:12">
      <c r="F181" s="694"/>
      <c r="H181" s="694"/>
      <c r="I181" s="694"/>
      <c r="L181" s="694"/>
    </row>
    <row r="182" spans="6:12">
      <c r="F182" s="694"/>
      <c r="H182" s="694"/>
      <c r="I182" s="694"/>
      <c r="L182" s="694"/>
    </row>
    <row r="183" spans="6:12">
      <c r="F183" s="694"/>
      <c r="H183" s="694"/>
      <c r="I183" s="694"/>
      <c r="L183" s="694"/>
    </row>
    <row r="184" spans="6:12">
      <c r="F184" s="694"/>
      <c r="H184" s="694"/>
      <c r="I184" s="694"/>
      <c r="L184" s="694"/>
    </row>
    <row r="185" spans="6:12">
      <c r="F185" s="694"/>
      <c r="H185" s="694"/>
      <c r="I185" s="694"/>
      <c r="L185" s="694"/>
    </row>
    <row r="186" spans="6:12">
      <c r="F186" s="694"/>
      <c r="H186" s="694"/>
      <c r="I186" s="694"/>
      <c r="L186" s="694"/>
    </row>
    <row r="187" spans="6:12">
      <c r="F187" s="694"/>
      <c r="H187" s="694"/>
      <c r="I187" s="694"/>
      <c r="L187" s="694"/>
    </row>
    <row r="188" spans="6:12">
      <c r="F188" s="694"/>
      <c r="H188" s="694"/>
      <c r="I188" s="694"/>
      <c r="L188" s="694"/>
    </row>
    <row r="189" spans="6:12">
      <c r="F189" s="694"/>
      <c r="H189" s="694"/>
      <c r="I189" s="694"/>
      <c r="L189" s="694"/>
    </row>
    <row r="190" spans="6:12">
      <c r="F190" s="694"/>
      <c r="H190" s="694"/>
      <c r="I190" s="694"/>
      <c r="L190" s="694"/>
    </row>
    <row r="191" spans="6:12">
      <c r="F191" s="694"/>
      <c r="H191" s="694"/>
      <c r="I191" s="694"/>
      <c r="L191" s="694"/>
    </row>
    <row r="192" spans="6:12">
      <c r="F192" s="694"/>
      <c r="H192" s="694"/>
      <c r="I192" s="694"/>
      <c r="L192" s="694"/>
    </row>
    <row r="193" spans="6:12">
      <c r="F193" s="694"/>
      <c r="H193" s="694"/>
      <c r="I193" s="694"/>
      <c r="L193" s="694"/>
    </row>
    <row r="194" spans="6:12">
      <c r="F194" s="694"/>
      <c r="H194" s="694"/>
      <c r="I194" s="694"/>
      <c r="L194" s="694"/>
    </row>
    <row r="195" spans="6:12">
      <c r="F195" s="694"/>
      <c r="H195" s="694"/>
      <c r="I195" s="694"/>
      <c r="L195" s="694"/>
    </row>
    <row r="196" spans="6:12">
      <c r="F196" s="694"/>
      <c r="H196" s="694"/>
      <c r="I196" s="694"/>
      <c r="L196" s="694"/>
    </row>
    <row r="197" spans="6:12">
      <c r="F197" s="694"/>
      <c r="H197" s="694"/>
      <c r="I197" s="694"/>
      <c r="L197" s="694"/>
    </row>
    <row r="198" spans="6:12">
      <c r="F198" s="694"/>
      <c r="H198" s="694"/>
      <c r="I198" s="694"/>
      <c r="L198" s="694"/>
    </row>
    <row r="199" spans="6:12">
      <c r="F199" s="694"/>
      <c r="H199" s="694"/>
      <c r="I199" s="694"/>
      <c r="L199" s="694"/>
    </row>
    <row r="200" spans="6:12">
      <c r="F200" s="694"/>
      <c r="H200" s="694"/>
      <c r="I200" s="694"/>
      <c r="L200" s="694"/>
    </row>
    <row r="201" spans="6:12">
      <c r="F201" s="694"/>
      <c r="H201" s="694"/>
      <c r="I201" s="694"/>
      <c r="L201" s="694"/>
    </row>
    <row r="202" spans="6:12">
      <c r="F202" s="694"/>
      <c r="H202" s="694"/>
      <c r="I202" s="694"/>
      <c r="L202" s="694"/>
    </row>
    <row r="203" spans="6:12">
      <c r="F203" s="694"/>
      <c r="H203" s="694"/>
      <c r="I203" s="694"/>
      <c r="L203" s="694"/>
    </row>
    <row r="204" spans="6:12">
      <c r="F204" s="694"/>
      <c r="H204" s="694"/>
      <c r="I204" s="694"/>
      <c r="L204" s="694"/>
    </row>
    <row r="205" spans="6:12">
      <c r="F205" s="694"/>
      <c r="H205" s="694"/>
      <c r="I205" s="694"/>
      <c r="L205" s="694"/>
    </row>
    <row r="206" spans="6:12">
      <c r="F206" s="694"/>
      <c r="H206" s="694"/>
      <c r="I206" s="694"/>
      <c r="L206" s="694"/>
    </row>
    <row r="207" spans="6:12">
      <c r="F207" s="694"/>
      <c r="H207" s="694"/>
      <c r="I207" s="694"/>
      <c r="L207" s="694"/>
    </row>
    <row r="208" spans="6:12">
      <c r="F208" s="694"/>
      <c r="H208" s="694"/>
      <c r="I208" s="694"/>
      <c r="L208" s="694"/>
    </row>
    <row r="209" spans="6:12">
      <c r="F209" s="694"/>
      <c r="H209" s="694"/>
      <c r="I209" s="694"/>
      <c r="L209" s="694"/>
    </row>
    <row r="210" spans="6:12">
      <c r="F210" s="694"/>
      <c r="H210" s="694"/>
      <c r="I210" s="694"/>
      <c r="L210" s="694"/>
    </row>
    <row r="211" spans="6:12">
      <c r="F211" s="694"/>
      <c r="H211" s="694"/>
      <c r="I211" s="694"/>
      <c r="L211" s="694"/>
    </row>
    <row r="212" spans="6:12">
      <c r="F212" s="694"/>
      <c r="H212" s="694"/>
      <c r="I212" s="694"/>
      <c r="L212" s="694"/>
    </row>
    <row r="213" spans="6:12">
      <c r="F213" s="694"/>
      <c r="H213" s="694"/>
      <c r="I213" s="694"/>
      <c r="L213" s="694"/>
    </row>
    <row r="214" spans="6:12">
      <c r="F214" s="694"/>
      <c r="H214" s="694"/>
      <c r="I214" s="694"/>
      <c r="L214" s="694"/>
    </row>
    <row r="215" spans="6:12">
      <c r="F215" s="694"/>
      <c r="H215" s="694"/>
      <c r="I215" s="694"/>
      <c r="L215" s="694"/>
    </row>
    <row r="216" spans="6:12">
      <c r="F216" s="694"/>
      <c r="H216" s="694"/>
      <c r="I216" s="694"/>
      <c r="L216" s="694"/>
    </row>
    <row r="217" spans="6:12">
      <c r="F217" s="694"/>
      <c r="H217" s="694"/>
      <c r="I217" s="694"/>
      <c r="L217" s="694"/>
    </row>
    <row r="218" spans="6:12">
      <c r="F218" s="694"/>
      <c r="H218" s="694"/>
      <c r="I218" s="694"/>
      <c r="L218" s="694"/>
    </row>
    <row r="219" spans="6:12">
      <c r="F219" s="694"/>
      <c r="H219" s="694"/>
      <c r="I219" s="694"/>
      <c r="L219" s="694"/>
    </row>
    <row r="220" spans="6:12">
      <c r="F220" s="694"/>
      <c r="H220" s="694"/>
      <c r="I220" s="694"/>
      <c r="L220" s="694"/>
    </row>
    <row r="221" spans="6:12">
      <c r="F221" s="694"/>
      <c r="H221" s="694"/>
      <c r="I221" s="694"/>
      <c r="L221" s="694"/>
    </row>
    <row r="222" spans="6:12">
      <c r="F222" s="694"/>
      <c r="H222" s="694"/>
      <c r="I222" s="694"/>
      <c r="L222" s="694"/>
    </row>
    <row r="223" spans="6:12">
      <c r="F223" s="694"/>
      <c r="H223" s="694"/>
      <c r="I223" s="694"/>
      <c r="L223" s="694"/>
    </row>
    <row r="224" spans="6:12">
      <c r="F224" s="694"/>
      <c r="H224" s="694"/>
      <c r="I224" s="694"/>
      <c r="L224" s="694"/>
    </row>
    <row r="225" spans="6:12">
      <c r="F225" s="694"/>
      <c r="H225" s="694"/>
      <c r="I225" s="694"/>
      <c r="L225" s="694"/>
    </row>
    <row r="226" spans="6:12">
      <c r="F226" s="694"/>
      <c r="H226" s="694"/>
      <c r="I226" s="694"/>
      <c r="L226" s="694"/>
    </row>
    <row r="227" spans="6:12">
      <c r="F227" s="694"/>
      <c r="H227" s="694"/>
      <c r="I227" s="694"/>
      <c r="L227" s="694"/>
    </row>
    <row r="228" spans="6:12">
      <c r="F228" s="694"/>
      <c r="H228" s="694"/>
      <c r="I228" s="694"/>
      <c r="L228" s="694"/>
    </row>
    <row r="229" spans="6:12">
      <c r="F229" s="694"/>
      <c r="H229" s="694"/>
      <c r="I229" s="694"/>
      <c r="L229" s="694"/>
    </row>
    <row r="230" spans="6:12">
      <c r="F230" s="694"/>
      <c r="H230" s="694"/>
      <c r="I230" s="694"/>
      <c r="L230" s="694"/>
    </row>
    <row r="231" spans="6:12">
      <c r="F231" s="694"/>
      <c r="H231" s="694"/>
      <c r="I231" s="694"/>
      <c r="L231" s="694"/>
    </row>
    <row r="232" spans="6:12">
      <c r="F232" s="694"/>
      <c r="H232" s="694"/>
      <c r="I232" s="694"/>
      <c r="L232" s="694"/>
    </row>
    <row r="233" spans="6:12">
      <c r="F233" s="694"/>
      <c r="H233" s="694"/>
      <c r="I233" s="694"/>
      <c r="L233" s="694"/>
    </row>
    <row r="234" spans="6:12">
      <c r="F234" s="694"/>
      <c r="H234" s="694"/>
      <c r="I234" s="694"/>
      <c r="L234" s="694"/>
    </row>
    <row r="235" spans="6:12">
      <c r="F235" s="694"/>
      <c r="H235" s="694"/>
      <c r="I235" s="694"/>
      <c r="L235" s="694"/>
    </row>
    <row r="236" spans="6:12">
      <c r="F236" s="694"/>
      <c r="H236" s="694"/>
      <c r="I236" s="694"/>
      <c r="L236" s="694"/>
    </row>
    <row r="237" spans="6:12">
      <c r="F237" s="694"/>
      <c r="H237" s="694"/>
      <c r="I237" s="694"/>
      <c r="L237" s="694"/>
    </row>
    <row r="238" spans="6:12">
      <c r="F238" s="694"/>
      <c r="H238" s="694"/>
      <c r="I238" s="694"/>
      <c r="L238" s="694"/>
    </row>
    <row r="239" spans="6:12">
      <c r="F239" s="694"/>
      <c r="H239" s="694"/>
      <c r="I239" s="694"/>
      <c r="L239" s="694"/>
    </row>
    <row r="240" spans="6:12">
      <c r="F240" s="694"/>
      <c r="H240" s="694"/>
      <c r="I240" s="694"/>
      <c r="L240" s="694"/>
    </row>
    <row r="241" spans="6:12">
      <c r="F241" s="694"/>
      <c r="H241" s="694"/>
      <c r="I241" s="694"/>
      <c r="L241" s="694"/>
    </row>
    <row r="242" spans="6:12">
      <c r="F242" s="694"/>
      <c r="H242" s="694"/>
      <c r="I242" s="694"/>
      <c r="L242" s="694"/>
    </row>
    <row r="243" spans="6:12">
      <c r="F243" s="694"/>
      <c r="H243" s="694"/>
      <c r="I243" s="694"/>
      <c r="L243" s="694"/>
    </row>
    <row r="244" spans="6:12">
      <c r="F244" s="694"/>
      <c r="H244" s="694"/>
      <c r="I244" s="694"/>
      <c r="L244" s="694"/>
    </row>
    <row r="245" spans="6:12">
      <c r="F245" s="694"/>
      <c r="H245" s="694"/>
      <c r="I245" s="694"/>
      <c r="L245" s="694"/>
    </row>
    <row r="246" spans="6:12">
      <c r="F246" s="694"/>
      <c r="H246" s="694"/>
      <c r="I246" s="694"/>
      <c r="L246" s="694"/>
    </row>
    <row r="247" spans="6:12">
      <c r="F247" s="694"/>
      <c r="H247" s="694"/>
      <c r="I247" s="694"/>
      <c r="L247" s="694"/>
    </row>
    <row r="248" spans="6:12">
      <c r="F248" s="694"/>
      <c r="H248" s="694"/>
      <c r="I248" s="694"/>
      <c r="L248" s="694"/>
    </row>
    <row r="249" spans="6:12">
      <c r="F249" s="694"/>
      <c r="H249" s="694"/>
      <c r="I249" s="694"/>
      <c r="L249" s="694"/>
    </row>
    <row r="250" spans="6:12">
      <c r="F250" s="694"/>
      <c r="H250" s="694"/>
      <c r="I250" s="694"/>
      <c r="L250" s="694"/>
    </row>
    <row r="251" spans="6:12">
      <c r="F251" s="694"/>
      <c r="H251" s="694"/>
      <c r="I251" s="694"/>
      <c r="L251" s="694"/>
    </row>
    <row r="252" spans="6:12">
      <c r="F252" s="694"/>
      <c r="H252" s="694"/>
      <c r="I252" s="694"/>
      <c r="L252" s="694"/>
    </row>
    <row r="253" spans="6:12">
      <c r="F253" s="694"/>
      <c r="H253" s="694"/>
      <c r="I253" s="694"/>
      <c r="L253" s="694"/>
    </row>
    <row r="254" spans="6:12">
      <c r="F254" s="694"/>
      <c r="H254" s="694"/>
      <c r="I254" s="694"/>
      <c r="L254" s="694"/>
    </row>
    <row r="255" spans="6:12">
      <c r="F255" s="694"/>
      <c r="H255" s="694"/>
      <c r="I255" s="694"/>
      <c r="L255" s="694"/>
    </row>
    <row r="256" spans="6:12">
      <c r="F256" s="694"/>
      <c r="H256" s="694"/>
      <c r="I256" s="694"/>
      <c r="L256" s="694"/>
    </row>
    <row r="257" spans="6:12">
      <c r="F257" s="694"/>
      <c r="H257" s="694"/>
      <c r="I257" s="694"/>
      <c r="L257" s="694"/>
    </row>
    <row r="258" spans="6:12">
      <c r="F258" s="694"/>
      <c r="H258" s="694"/>
      <c r="I258" s="694"/>
      <c r="L258" s="694"/>
    </row>
    <row r="259" spans="6:12">
      <c r="F259" s="694"/>
      <c r="H259" s="694"/>
      <c r="I259" s="694"/>
      <c r="L259" s="694"/>
    </row>
    <row r="260" spans="6:12">
      <c r="F260" s="694"/>
      <c r="H260" s="694"/>
      <c r="I260" s="694"/>
      <c r="L260" s="694"/>
    </row>
    <row r="261" spans="6:12">
      <c r="F261" s="694"/>
      <c r="H261" s="694"/>
      <c r="I261" s="694"/>
      <c r="L261" s="694"/>
    </row>
    <row r="262" spans="6:12">
      <c r="F262" s="694"/>
      <c r="H262" s="694"/>
      <c r="I262" s="694"/>
      <c r="L262" s="694"/>
    </row>
    <row r="263" spans="6:12">
      <c r="F263" s="694"/>
      <c r="H263" s="694"/>
      <c r="I263" s="694"/>
      <c r="L263" s="694"/>
    </row>
    <row r="264" spans="6:12">
      <c r="F264" s="694"/>
      <c r="H264" s="694"/>
      <c r="I264" s="694"/>
      <c r="L264" s="694"/>
    </row>
    <row r="265" spans="6:12">
      <c r="F265" s="694"/>
      <c r="H265" s="694"/>
      <c r="I265" s="694"/>
      <c r="L265" s="694"/>
    </row>
    <row r="266" spans="6:12">
      <c r="F266" s="694"/>
      <c r="H266" s="694"/>
      <c r="I266" s="694"/>
      <c r="L266" s="694"/>
    </row>
    <row r="267" spans="6:12">
      <c r="F267" s="694"/>
      <c r="H267" s="694"/>
      <c r="I267" s="694"/>
      <c r="L267" s="694"/>
    </row>
    <row r="268" spans="6:12">
      <c r="F268" s="694"/>
      <c r="H268" s="694"/>
      <c r="I268" s="694"/>
      <c r="L268" s="694"/>
    </row>
    <row r="269" spans="6:12">
      <c r="F269" s="694"/>
      <c r="H269" s="694"/>
      <c r="I269" s="694"/>
      <c r="L269" s="694"/>
    </row>
    <row r="270" spans="6:12">
      <c r="F270" s="694"/>
      <c r="H270" s="694"/>
      <c r="I270" s="694"/>
      <c r="L270" s="694"/>
    </row>
    <row r="271" spans="6:12">
      <c r="F271" s="694"/>
      <c r="H271" s="694"/>
      <c r="I271" s="694"/>
      <c r="L271" s="694"/>
    </row>
    <row r="272" spans="6:12">
      <c r="F272" s="694"/>
      <c r="H272" s="694"/>
      <c r="I272" s="694"/>
      <c r="L272" s="694"/>
    </row>
    <row r="273" spans="6:12">
      <c r="F273" s="694"/>
      <c r="H273" s="694"/>
      <c r="I273" s="694"/>
      <c r="L273" s="694"/>
    </row>
    <row r="274" spans="6:12">
      <c r="F274" s="694"/>
      <c r="H274" s="694"/>
      <c r="I274" s="694"/>
      <c r="L274" s="694"/>
    </row>
    <row r="275" spans="6:12">
      <c r="F275" s="694"/>
      <c r="H275" s="694"/>
      <c r="I275" s="694"/>
      <c r="L275" s="694"/>
    </row>
    <row r="276" spans="6:12">
      <c r="F276" s="694"/>
      <c r="H276" s="694"/>
      <c r="I276" s="694"/>
      <c r="L276" s="694"/>
    </row>
    <row r="277" spans="6:12">
      <c r="F277" s="694"/>
      <c r="H277" s="694"/>
      <c r="I277" s="694"/>
      <c r="L277" s="694"/>
    </row>
    <row r="278" spans="6:12">
      <c r="F278" s="694"/>
      <c r="H278" s="694"/>
      <c r="I278" s="694"/>
      <c r="L278" s="694"/>
    </row>
    <row r="279" spans="6:12">
      <c r="F279" s="694"/>
      <c r="H279" s="694"/>
      <c r="I279" s="694"/>
      <c r="L279" s="694"/>
    </row>
    <row r="280" spans="6:12">
      <c r="F280" s="694"/>
      <c r="H280" s="694"/>
      <c r="I280" s="694"/>
      <c r="L280" s="694"/>
    </row>
    <row r="281" spans="6:12">
      <c r="F281" s="694"/>
      <c r="H281" s="694"/>
      <c r="I281" s="694"/>
      <c r="L281" s="694"/>
    </row>
    <row r="282" spans="6:12">
      <c r="F282" s="694"/>
      <c r="H282" s="694"/>
      <c r="I282" s="694"/>
      <c r="L282" s="694"/>
    </row>
    <row r="283" spans="6:12">
      <c r="F283" s="694"/>
      <c r="H283" s="694"/>
      <c r="I283" s="694"/>
      <c r="L283" s="694"/>
    </row>
    <row r="284" spans="6:12">
      <c r="F284" s="694"/>
      <c r="H284" s="694"/>
      <c r="I284" s="694"/>
      <c r="L284" s="694"/>
    </row>
    <row r="285" spans="6:12">
      <c r="F285" s="694"/>
      <c r="H285" s="694"/>
      <c r="I285" s="694"/>
      <c r="L285" s="694"/>
    </row>
    <row r="286" spans="6:12">
      <c r="F286" s="694"/>
      <c r="H286" s="694"/>
      <c r="I286" s="694"/>
      <c r="L286" s="694"/>
    </row>
    <row r="287" spans="6:12">
      <c r="F287" s="694"/>
      <c r="H287" s="694"/>
      <c r="I287" s="694"/>
      <c r="L287" s="694"/>
    </row>
    <row r="288" spans="6:12">
      <c r="F288" s="694"/>
      <c r="H288" s="694"/>
      <c r="I288" s="694"/>
      <c r="L288" s="694"/>
    </row>
    <row r="289" spans="6:12">
      <c r="F289" s="694"/>
      <c r="H289" s="694"/>
      <c r="I289" s="694"/>
      <c r="L289" s="694"/>
    </row>
    <row r="290" spans="6:12">
      <c r="F290" s="694"/>
      <c r="H290" s="694"/>
      <c r="I290" s="694"/>
      <c r="L290" s="694"/>
    </row>
    <row r="291" spans="6:12">
      <c r="F291" s="694"/>
      <c r="H291" s="694"/>
      <c r="I291" s="694"/>
      <c r="L291" s="694"/>
    </row>
    <row r="292" spans="6:12">
      <c r="F292" s="694"/>
      <c r="H292" s="694"/>
      <c r="I292" s="694"/>
      <c r="L292" s="694"/>
    </row>
    <row r="293" spans="6:12">
      <c r="F293" s="694"/>
      <c r="H293" s="694"/>
      <c r="I293" s="694"/>
      <c r="L293" s="694"/>
    </row>
    <row r="294" spans="6:12">
      <c r="F294" s="694"/>
      <c r="H294" s="694"/>
      <c r="I294" s="694"/>
      <c r="L294" s="694"/>
    </row>
    <row r="295" spans="6:12">
      <c r="F295" s="694"/>
      <c r="H295" s="694"/>
      <c r="I295" s="694"/>
      <c r="L295" s="694"/>
    </row>
    <row r="296" spans="6:12">
      <c r="F296" s="694"/>
      <c r="H296" s="694"/>
      <c r="I296" s="694"/>
      <c r="L296" s="694"/>
    </row>
    <row r="297" spans="6:12">
      <c r="F297" s="694"/>
      <c r="H297" s="694"/>
      <c r="I297" s="694"/>
      <c r="L297" s="694"/>
    </row>
    <row r="298" spans="6:12">
      <c r="F298" s="694"/>
      <c r="H298" s="694"/>
      <c r="I298" s="694"/>
      <c r="L298" s="694"/>
    </row>
    <row r="299" spans="6:12">
      <c r="F299" s="694"/>
      <c r="H299" s="694"/>
      <c r="I299" s="694"/>
      <c r="L299" s="694"/>
    </row>
    <row r="300" spans="6:12">
      <c r="F300" s="694"/>
      <c r="H300" s="694"/>
      <c r="I300" s="694"/>
      <c r="L300" s="694"/>
    </row>
    <row r="301" spans="6:12">
      <c r="F301" s="694"/>
      <c r="H301" s="694"/>
      <c r="I301" s="694"/>
      <c r="L301" s="694"/>
    </row>
    <row r="302" spans="6:12">
      <c r="F302" s="694"/>
      <c r="H302" s="694"/>
      <c r="I302" s="694"/>
      <c r="L302" s="694"/>
    </row>
    <row r="303" spans="6:12">
      <c r="F303" s="694"/>
      <c r="H303" s="694"/>
      <c r="I303" s="694"/>
      <c r="L303" s="694"/>
    </row>
    <row r="304" spans="6:12">
      <c r="F304" s="694"/>
      <c r="H304" s="694"/>
      <c r="I304" s="694"/>
      <c r="L304" s="694"/>
    </row>
    <row r="305" spans="6:12">
      <c r="F305" s="694"/>
      <c r="H305" s="694"/>
      <c r="I305" s="694"/>
      <c r="L305" s="694"/>
    </row>
    <row r="306" spans="6:12">
      <c r="F306" s="694"/>
      <c r="H306" s="694"/>
      <c r="I306" s="694"/>
      <c r="L306" s="694"/>
    </row>
    <row r="307" spans="6:12">
      <c r="F307" s="694"/>
      <c r="H307" s="694"/>
      <c r="I307" s="694"/>
      <c r="L307" s="694"/>
    </row>
    <row r="308" spans="6:12">
      <c r="F308" s="694"/>
      <c r="H308" s="694"/>
      <c r="I308" s="694"/>
      <c r="L308" s="694"/>
    </row>
    <row r="309" spans="6:12">
      <c r="F309" s="694"/>
      <c r="H309" s="694"/>
      <c r="I309" s="694"/>
      <c r="L309" s="694"/>
    </row>
    <row r="310" spans="6:12">
      <c r="F310" s="694"/>
      <c r="H310" s="694"/>
      <c r="I310" s="694"/>
      <c r="L310" s="694"/>
    </row>
    <row r="311" spans="6:12">
      <c r="F311" s="694"/>
      <c r="H311" s="694"/>
      <c r="I311" s="694"/>
      <c r="L311" s="694"/>
    </row>
    <row r="312" spans="6:12">
      <c r="F312" s="694"/>
      <c r="H312" s="694"/>
      <c r="I312" s="694"/>
      <c r="L312" s="694"/>
    </row>
    <row r="313" spans="6:12">
      <c r="F313" s="694"/>
      <c r="H313" s="694"/>
      <c r="I313" s="694"/>
      <c r="L313" s="694"/>
    </row>
    <row r="314" spans="6:12">
      <c r="F314" s="694"/>
      <c r="H314" s="694"/>
      <c r="I314" s="694"/>
      <c r="L314" s="694"/>
    </row>
    <row r="315" spans="6:12">
      <c r="F315" s="694"/>
      <c r="H315" s="694"/>
      <c r="I315" s="694"/>
      <c r="L315" s="694"/>
    </row>
    <row r="316" spans="6:12">
      <c r="F316" s="694"/>
      <c r="H316" s="694"/>
      <c r="I316" s="694"/>
      <c r="L316" s="694"/>
    </row>
    <row r="317" spans="6:12">
      <c r="F317" s="694"/>
      <c r="H317" s="694"/>
      <c r="I317" s="694"/>
      <c r="L317" s="694"/>
    </row>
    <row r="318" spans="6:12">
      <c r="F318" s="694"/>
      <c r="H318" s="694"/>
      <c r="I318" s="694"/>
      <c r="L318" s="694"/>
    </row>
    <row r="319" spans="6:12">
      <c r="F319" s="694"/>
      <c r="H319" s="694"/>
      <c r="I319" s="694"/>
      <c r="L319" s="694"/>
    </row>
    <row r="320" spans="6:12">
      <c r="F320" s="694"/>
      <c r="H320" s="694"/>
      <c r="I320" s="694"/>
      <c r="L320" s="694"/>
    </row>
    <row r="321" spans="6:12">
      <c r="F321" s="694"/>
      <c r="H321" s="694"/>
      <c r="I321" s="694"/>
      <c r="L321" s="694"/>
    </row>
    <row r="322" spans="6:12">
      <c r="F322" s="694"/>
      <c r="H322" s="694"/>
      <c r="I322" s="694"/>
      <c r="L322" s="694"/>
    </row>
    <row r="323" spans="6:12">
      <c r="F323" s="694"/>
      <c r="H323" s="694"/>
      <c r="I323" s="694"/>
      <c r="L323" s="694"/>
    </row>
    <row r="324" spans="6:12">
      <c r="F324" s="694"/>
      <c r="H324" s="694"/>
      <c r="I324" s="694"/>
      <c r="L324" s="694"/>
    </row>
    <row r="325" spans="6:12">
      <c r="F325" s="694"/>
      <c r="H325" s="694"/>
      <c r="I325" s="694"/>
      <c r="L325" s="694"/>
    </row>
    <row r="326" spans="6:12">
      <c r="F326" s="694"/>
      <c r="H326" s="694"/>
      <c r="I326" s="694"/>
      <c r="L326" s="694"/>
    </row>
    <row r="327" spans="6:12">
      <c r="F327" s="694"/>
      <c r="H327" s="694"/>
      <c r="I327" s="694"/>
      <c r="L327" s="694"/>
    </row>
    <row r="328" spans="6:12">
      <c r="F328" s="694"/>
      <c r="H328" s="694"/>
      <c r="I328" s="694"/>
      <c r="L328" s="694"/>
    </row>
    <row r="329" spans="6:12">
      <c r="F329" s="694"/>
      <c r="H329" s="694"/>
      <c r="I329" s="694"/>
      <c r="L329" s="694"/>
    </row>
    <row r="330" spans="6:12">
      <c r="F330" s="694"/>
      <c r="H330" s="694"/>
      <c r="I330" s="694"/>
      <c r="L330" s="694"/>
    </row>
    <row r="331" spans="6:12">
      <c r="F331" s="694"/>
      <c r="H331" s="694"/>
      <c r="I331" s="694"/>
      <c r="L331" s="694"/>
    </row>
    <row r="332" spans="6:12">
      <c r="F332" s="694"/>
      <c r="H332" s="694"/>
      <c r="I332" s="694"/>
      <c r="L332" s="694"/>
    </row>
    <row r="333" spans="6:12">
      <c r="F333" s="694"/>
      <c r="H333" s="694"/>
      <c r="I333" s="694"/>
      <c r="L333" s="694"/>
    </row>
    <row r="334" spans="6:12">
      <c r="F334" s="694"/>
      <c r="H334" s="694"/>
      <c r="I334" s="694"/>
      <c r="L334" s="694"/>
    </row>
    <row r="335" spans="6:12">
      <c r="F335" s="694"/>
      <c r="H335" s="694"/>
      <c r="I335" s="694"/>
      <c r="L335" s="694"/>
    </row>
    <row r="336" spans="6:12">
      <c r="F336" s="694"/>
      <c r="H336" s="694"/>
      <c r="I336" s="694"/>
      <c r="L336" s="694"/>
    </row>
    <row r="337" spans="6:12">
      <c r="F337" s="694"/>
      <c r="H337" s="694"/>
      <c r="I337" s="694"/>
      <c r="L337" s="694"/>
    </row>
    <row r="338" spans="6:12">
      <c r="F338" s="694"/>
      <c r="H338" s="694"/>
      <c r="I338" s="694"/>
      <c r="L338" s="694"/>
    </row>
    <row r="339" spans="6:12">
      <c r="F339" s="694"/>
      <c r="H339" s="694"/>
      <c r="I339" s="694"/>
      <c r="L339" s="694"/>
    </row>
    <row r="340" spans="6:12">
      <c r="F340" s="694"/>
      <c r="H340" s="694"/>
      <c r="I340" s="694"/>
      <c r="L340" s="694"/>
    </row>
    <row r="341" spans="6:12">
      <c r="F341" s="694"/>
      <c r="H341" s="694"/>
      <c r="I341" s="694"/>
      <c r="L341" s="694"/>
    </row>
    <row r="342" spans="6:12">
      <c r="F342" s="694"/>
      <c r="H342" s="694"/>
      <c r="I342" s="694"/>
      <c r="L342" s="694"/>
    </row>
    <row r="343" spans="6:12">
      <c r="F343" s="694"/>
      <c r="H343" s="694"/>
      <c r="I343" s="694"/>
      <c r="L343" s="694"/>
    </row>
    <row r="344" spans="6:12">
      <c r="F344" s="694"/>
      <c r="H344" s="694"/>
      <c r="I344" s="694"/>
      <c r="L344" s="694"/>
    </row>
    <row r="345" spans="6:12">
      <c r="F345" s="694"/>
      <c r="H345" s="694"/>
      <c r="I345" s="694"/>
      <c r="L345" s="694"/>
    </row>
    <row r="346" spans="6:12">
      <c r="F346" s="694"/>
      <c r="H346" s="694"/>
      <c r="I346" s="694"/>
      <c r="L346" s="694"/>
    </row>
    <row r="347" spans="6:12">
      <c r="F347" s="694"/>
      <c r="H347" s="694"/>
      <c r="I347" s="694"/>
      <c r="L347" s="694"/>
    </row>
    <row r="348" spans="6:12">
      <c r="F348" s="694"/>
      <c r="H348" s="694"/>
      <c r="I348" s="694"/>
      <c r="L348" s="694"/>
    </row>
    <row r="349" spans="6:12">
      <c r="F349" s="694"/>
      <c r="H349" s="694"/>
      <c r="I349" s="694"/>
      <c r="L349" s="694"/>
    </row>
    <row r="350" spans="6:12">
      <c r="F350" s="694"/>
      <c r="H350" s="694"/>
      <c r="I350" s="694"/>
      <c r="L350" s="694"/>
    </row>
    <row r="351" spans="6:12">
      <c r="F351" s="694"/>
      <c r="H351" s="694"/>
      <c r="I351" s="694"/>
      <c r="L351" s="694"/>
    </row>
    <row r="352" spans="6:12">
      <c r="F352" s="694"/>
      <c r="H352" s="694"/>
      <c r="I352" s="694"/>
      <c r="L352" s="694"/>
    </row>
    <row r="353" spans="6:12">
      <c r="F353" s="694"/>
      <c r="H353" s="694"/>
      <c r="I353" s="694"/>
      <c r="L353" s="694"/>
    </row>
    <row r="354" spans="6:12">
      <c r="F354" s="694"/>
      <c r="H354" s="694"/>
      <c r="I354" s="694"/>
      <c r="L354" s="694"/>
    </row>
    <row r="355" spans="6:12">
      <c r="F355" s="694"/>
      <c r="H355" s="694"/>
      <c r="I355" s="694"/>
      <c r="L355" s="694"/>
    </row>
    <row r="356" spans="6:12">
      <c r="F356" s="694"/>
      <c r="H356" s="694"/>
      <c r="I356" s="694"/>
      <c r="L356" s="694"/>
    </row>
    <row r="357" spans="6:12">
      <c r="F357" s="694"/>
      <c r="H357" s="694"/>
      <c r="I357" s="694"/>
      <c r="L357" s="694"/>
    </row>
    <row r="358" spans="6:12">
      <c r="F358" s="694"/>
      <c r="H358" s="694"/>
      <c r="I358" s="694"/>
      <c r="L358" s="694"/>
    </row>
    <row r="359" spans="6:12">
      <c r="F359" s="694"/>
      <c r="H359" s="694"/>
      <c r="I359" s="694"/>
      <c r="L359" s="694"/>
    </row>
    <row r="360" spans="6:12">
      <c r="F360" s="694"/>
      <c r="H360" s="694"/>
      <c r="I360" s="694"/>
      <c r="L360" s="694"/>
    </row>
    <row r="361" spans="6:12">
      <c r="F361" s="694"/>
      <c r="H361" s="694"/>
      <c r="I361" s="694"/>
      <c r="L361" s="694"/>
    </row>
    <row r="362" spans="6:12">
      <c r="F362" s="694"/>
      <c r="H362" s="694"/>
      <c r="I362" s="694"/>
      <c r="L362" s="694"/>
    </row>
    <row r="363" spans="6:12">
      <c r="F363" s="694"/>
      <c r="H363" s="694"/>
      <c r="I363" s="694"/>
      <c r="L363" s="694"/>
    </row>
    <row r="364" spans="6:12">
      <c r="F364" s="694"/>
      <c r="H364" s="694"/>
      <c r="I364" s="694"/>
      <c r="L364" s="694"/>
    </row>
    <row r="365" spans="6:12">
      <c r="F365" s="694"/>
      <c r="H365" s="694"/>
      <c r="I365" s="694"/>
      <c r="L365" s="694"/>
    </row>
    <row r="366" spans="6:12">
      <c r="F366" s="694"/>
      <c r="H366" s="694"/>
      <c r="I366" s="694"/>
      <c r="L366" s="694"/>
    </row>
    <row r="367" spans="6:12">
      <c r="F367" s="694"/>
      <c r="H367" s="694"/>
      <c r="I367" s="694"/>
      <c r="L367" s="694"/>
    </row>
    <row r="368" spans="6:12">
      <c r="F368" s="694"/>
      <c r="H368" s="694"/>
      <c r="I368" s="694"/>
      <c r="L368" s="694"/>
    </row>
    <row r="369" spans="6:12">
      <c r="F369" s="694"/>
      <c r="H369" s="694"/>
      <c r="I369" s="694"/>
      <c r="L369" s="694"/>
    </row>
    <row r="370" spans="6:12">
      <c r="F370" s="694"/>
      <c r="H370" s="694"/>
      <c r="I370" s="694"/>
      <c r="L370" s="694"/>
    </row>
    <row r="371" spans="6:12">
      <c r="F371" s="694"/>
      <c r="H371" s="694"/>
      <c r="I371" s="694"/>
      <c r="L371" s="694"/>
    </row>
    <row r="372" spans="6:12">
      <c r="F372" s="694"/>
      <c r="H372" s="694"/>
      <c r="I372" s="694"/>
      <c r="L372" s="694"/>
    </row>
    <row r="373" spans="6:12">
      <c r="F373" s="694"/>
      <c r="H373" s="694"/>
      <c r="I373" s="694"/>
      <c r="L373" s="694"/>
    </row>
    <row r="374" spans="6:12">
      <c r="F374" s="694"/>
      <c r="H374" s="694"/>
      <c r="I374" s="694"/>
      <c r="L374" s="694"/>
    </row>
    <row r="375" spans="6:12">
      <c r="F375" s="694"/>
      <c r="H375" s="694"/>
      <c r="I375" s="694"/>
      <c r="L375" s="694"/>
    </row>
    <row r="376" spans="6:12">
      <c r="F376" s="694"/>
      <c r="H376" s="694"/>
      <c r="I376" s="694"/>
      <c r="L376" s="694"/>
    </row>
    <row r="377" spans="6:12">
      <c r="F377" s="694"/>
      <c r="H377" s="694"/>
      <c r="I377" s="694"/>
      <c r="L377" s="694"/>
    </row>
    <row r="378" spans="6:12">
      <c r="F378" s="694"/>
      <c r="H378" s="694"/>
      <c r="I378" s="694"/>
      <c r="L378" s="694"/>
    </row>
    <row r="379" spans="6:12">
      <c r="F379" s="694"/>
      <c r="H379" s="694"/>
      <c r="I379" s="694"/>
      <c r="L379" s="694"/>
    </row>
    <row r="380" spans="6:12">
      <c r="F380" s="694"/>
      <c r="H380" s="694"/>
      <c r="I380" s="694"/>
      <c r="L380" s="694"/>
    </row>
    <row r="381" spans="6:12">
      <c r="F381" s="694"/>
      <c r="H381" s="694"/>
      <c r="I381" s="694"/>
      <c r="L381" s="694"/>
    </row>
    <row r="382" spans="6:12">
      <c r="F382" s="694"/>
      <c r="H382" s="694"/>
      <c r="I382" s="694"/>
      <c r="L382" s="694"/>
    </row>
    <row r="383" spans="6:12">
      <c r="F383" s="694"/>
      <c r="H383" s="694"/>
      <c r="I383" s="694"/>
      <c r="L383" s="694"/>
    </row>
    <row r="384" spans="6:12">
      <c r="F384" s="694"/>
      <c r="H384" s="694"/>
      <c r="I384" s="694"/>
      <c r="L384" s="694"/>
    </row>
    <row r="385" spans="6:12">
      <c r="F385" s="694"/>
      <c r="H385" s="694"/>
      <c r="I385" s="694"/>
      <c r="L385" s="694"/>
    </row>
    <row r="386" spans="6:12">
      <c r="F386" s="694"/>
      <c r="H386" s="694"/>
      <c r="I386" s="694"/>
      <c r="L386" s="694"/>
    </row>
    <row r="387" spans="6:12">
      <c r="F387" s="694"/>
      <c r="H387" s="694"/>
      <c r="I387" s="694"/>
      <c r="L387" s="694"/>
    </row>
    <row r="388" spans="6:12">
      <c r="F388" s="694"/>
      <c r="H388" s="694"/>
      <c r="I388" s="694"/>
      <c r="L388" s="694"/>
    </row>
    <row r="389" spans="6:12">
      <c r="F389" s="694"/>
      <c r="H389" s="694"/>
      <c r="I389" s="694"/>
      <c r="L389" s="694"/>
    </row>
    <row r="390" spans="6:12">
      <c r="F390" s="694"/>
      <c r="H390" s="694"/>
      <c r="I390" s="694"/>
      <c r="L390" s="694"/>
    </row>
    <row r="391" spans="6:12">
      <c r="F391" s="694"/>
      <c r="H391" s="694"/>
      <c r="I391" s="694"/>
      <c r="L391" s="694"/>
    </row>
    <row r="392" spans="6:12">
      <c r="F392" s="694"/>
      <c r="H392" s="694"/>
      <c r="I392" s="694"/>
      <c r="L392" s="694"/>
    </row>
    <row r="393" spans="6:12">
      <c r="F393" s="694"/>
      <c r="H393" s="694"/>
      <c r="I393" s="694"/>
      <c r="L393" s="694"/>
    </row>
    <row r="394" spans="6:12">
      <c r="F394" s="694"/>
      <c r="H394" s="694"/>
      <c r="I394" s="694"/>
      <c r="L394" s="694"/>
    </row>
    <row r="395" spans="6:12">
      <c r="F395" s="694"/>
      <c r="H395" s="694"/>
      <c r="I395" s="694"/>
      <c r="L395" s="694"/>
    </row>
    <row r="396" spans="6:12">
      <c r="F396" s="694"/>
      <c r="H396" s="694"/>
      <c r="I396" s="694"/>
      <c r="L396" s="694"/>
    </row>
    <row r="397" spans="6:12">
      <c r="F397" s="694"/>
      <c r="H397" s="694"/>
      <c r="I397" s="694"/>
      <c r="L397" s="694"/>
    </row>
    <row r="398" spans="6:12">
      <c r="F398" s="694"/>
      <c r="H398" s="694"/>
      <c r="I398" s="694"/>
      <c r="L398" s="694"/>
    </row>
    <row r="399" spans="6:12">
      <c r="F399" s="694"/>
      <c r="H399" s="694"/>
      <c r="I399" s="694"/>
      <c r="L399" s="694"/>
    </row>
    <row r="400" spans="6:12">
      <c r="F400" s="694"/>
      <c r="H400" s="694"/>
      <c r="I400" s="694"/>
      <c r="L400" s="694"/>
    </row>
    <row r="401" spans="6:12">
      <c r="F401" s="694"/>
      <c r="H401" s="694"/>
      <c r="I401" s="694"/>
      <c r="L401" s="694"/>
    </row>
    <row r="402" spans="6:12">
      <c r="F402" s="694"/>
      <c r="H402" s="694"/>
      <c r="I402" s="694"/>
      <c r="L402" s="694"/>
    </row>
    <row r="403" spans="6:12">
      <c r="F403" s="694"/>
      <c r="H403" s="694"/>
      <c r="I403" s="694"/>
      <c r="L403" s="694"/>
    </row>
    <row r="404" spans="6:12">
      <c r="F404" s="694"/>
      <c r="H404" s="694"/>
      <c r="I404" s="694"/>
      <c r="L404" s="694"/>
    </row>
    <row r="405" spans="6:12">
      <c r="F405" s="694"/>
      <c r="H405" s="694"/>
      <c r="I405" s="694"/>
      <c r="L405" s="694"/>
    </row>
    <row r="406" spans="6:12">
      <c r="F406" s="694"/>
      <c r="H406" s="694"/>
      <c r="I406" s="694"/>
      <c r="L406" s="694"/>
    </row>
    <row r="407" spans="6:12">
      <c r="F407" s="694"/>
      <c r="H407" s="694"/>
      <c r="I407" s="694"/>
      <c r="L407" s="694"/>
    </row>
    <row r="408" spans="6:12">
      <c r="F408" s="694"/>
      <c r="H408" s="694"/>
      <c r="I408" s="694"/>
      <c r="L408" s="694"/>
    </row>
    <row r="409" spans="6:12">
      <c r="F409" s="694"/>
      <c r="H409" s="694"/>
      <c r="I409" s="694"/>
      <c r="L409" s="694"/>
    </row>
    <row r="410" spans="6:12">
      <c r="F410" s="694"/>
      <c r="H410" s="694"/>
      <c r="I410" s="694"/>
      <c r="L410" s="694"/>
    </row>
    <row r="411" spans="6:12">
      <c r="F411" s="694"/>
      <c r="H411" s="694"/>
      <c r="I411" s="694"/>
      <c r="L411" s="694"/>
    </row>
    <row r="412" spans="6:12">
      <c r="F412" s="694"/>
      <c r="H412" s="694"/>
      <c r="I412" s="694"/>
      <c r="L412" s="694"/>
    </row>
    <row r="413" spans="6:12">
      <c r="F413" s="694"/>
      <c r="H413" s="694"/>
      <c r="I413" s="694"/>
      <c r="L413" s="694"/>
    </row>
    <row r="414" spans="6:12">
      <c r="F414" s="694"/>
      <c r="H414" s="694"/>
      <c r="I414" s="694"/>
      <c r="L414" s="694"/>
    </row>
    <row r="415" spans="6:12">
      <c r="F415" s="694"/>
      <c r="H415" s="694"/>
      <c r="I415" s="694"/>
      <c r="L415" s="694"/>
    </row>
    <row r="416" spans="6:12">
      <c r="F416" s="694"/>
      <c r="H416" s="694"/>
      <c r="I416" s="694"/>
      <c r="L416" s="694"/>
    </row>
    <row r="417" spans="6:12">
      <c r="F417" s="694"/>
      <c r="H417" s="694"/>
      <c r="I417" s="694"/>
      <c r="L417" s="694"/>
    </row>
    <row r="418" spans="6:12">
      <c r="F418" s="694"/>
      <c r="H418" s="694"/>
      <c r="I418" s="694"/>
      <c r="L418" s="694"/>
    </row>
    <row r="419" spans="6:12">
      <c r="F419" s="694"/>
      <c r="H419" s="694"/>
      <c r="I419" s="694"/>
      <c r="L419" s="694"/>
    </row>
    <row r="420" spans="6:12">
      <c r="F420" s="694"/>
      <c r="H420" s="694"/>
      <c r="I420" s="694"/>
      <c r="L420" s="694"/>
    </row>
    <row r="421" spans="6:12">
      <c r="F421" s="694"/>
      <c r="H421" s="694"/>
      <c r="I421" s="694"/>
      <c r="L421" s="694"/>
    </row>
    <row r="422" spans="6:12">
      <c r="F422" s="694"/>
      <c r="H422" s="694"/>
      <c r="I422" s="694"/>
      <c r="L422" s="694"/>
    </row>
    <row r="423" spans="6:12">
      <c r="F423" s="694"/>
      <c r="H423" s="694"/>
      <c r="I423" s="694"/>
      <c r="L423" s="694"/>
    </row>
    <row r="424" spans="6:12">
      <c r="F424" s="694"/>
      <c r="H424" s="694"/>
      <c r="I424" s="694"/>
      <c r="L424" s="694"/>
    </row>
    <row r="425" spans="6:12">
      <c r="F425" s="694"/>
      <c r="H425" s="694"/>
      <c r="I425" s="694"/>
      <c r="L425" s="694"/>
    </row>
    <row r="426" spans="6:12">
      <c r="F426" s="694"/>
      <c r="H426" s="694"/>
      <c r="I426" s="694"/>
      <c r="L426" s="694"/>
    </row>
    <row r="427" spans="6:12">
      <c r="F427" s="694"/>
      <c r="H427" s="694"/>
      <c r="I427" s="694"/>
      <c r="L427" s="694"/>
    </row>
    <row r="428" spans="6:12">
      <c r="F428" s="694"/>
      <c r="H428" s="694"/>
      <c r="I428" s="694"/>
      <c r="L428" s="694"/>
    </row>
    <row r="429" spans="6:12">
      <c r="F429" s="694"/>
      <c r="H429" s="694"/>
      <c r="I429" s="694"/>
      <c r="L429" s="694"/>
    </row>
    <row r="430" spans="6:12">
      <c r="F430" s="694"/>
      <c r="H430" s="694"/>
      <c r="I430" s="694"/>
      <c r="L430" s="694"/>
    </row>
    <row r="431" spans="6:12">
      <c r="F431" s="694"/>
      <c r="H431" s="694"/>
      <c r="I431" s="694"/>
      <c r="L431" s="694"/>
    </row>
    <row r="432" spans="6:12">
      <c r="F432" s="694"/>
      <c r="H432" s="694"/>
      <c r="I432" s="694"/>
      <c r="L432" s="694"/>
    </row>
    <row r="433" spans="6:12">
      <c r="F433" s="694"/>
      <c r="H433" s="694"/>
      <c r="I433" s="694"/>
      <c r="L433" s="694"/>
    </row>
    <row r="434" spans="6:12">
      <c r="F434" s="694"/>
      <c r="H434" s="694"/>
      <c r="I434" s="694"/>
      <c r="L434" s="694"/>
    </row>
    <row r="435" spans="6:12">
      <c r="F435" s="694"/>
      <c r="H435" s="694"/>
      <c r="I435" s="694"/>
      <c r="L435" s="694"/>
    </row>
    <row r="436" spans="6:12">
      <c r="F436" s="694"/>
      <c r="H436" s="694"/>
      <c r="I436" s="694"/>
      <c r="L436" s="694"/>
    </row>
    <row r="437" spans="6:12">
      <c r="F437" s="694"/>
      <c r="H437" s="694"/>
      <c r="I437" s="694"/>
      <c r="L437" s="694"/>
    </row>
    <row r="438" spans="6:12">
      <c r="F438" s="694"/>
      <c r="H438" s="694"/>
      <c r="I438" s="694"/>
      <c r="L438" s="694"/>
    </row>
    <row r="439" spans="6:12">
      <c r="F439" s="694"/>
      <c r="H439" s="694"/>
      <c r="I439" s="694"/>
      <c r="L439" s="694"/>
    </row>
    <row r="440" spans="6:12">
      <c r="F440" s="694"/>
      <c r="H440" s="694"/>
      <c r="I440" s="694"/>
      <c r="L440" s="694"/>
    </row>
    <row r="441" spans="6:12">
      <c r="F441" s="694"/>
      <c r="H441" s="694"/>
      <c r="I441" s="694"/>
      <c r="L441" s="694"/>
    </row>
    <row r="442" spans="6:12">
      <c r="F442" s="694"/>
      <c r="H442" s="694"/>
      <c r="I442" s="694"/>
      <c r="L442" s="694"/>
    </row>
    <row r="443" spans="6:12">
      <c r="F443" s="694"/>
      <c r="H443" s="694"/>
      <c r="I443" s="694"/>
      <c r="L443" s="694"/>
    </row>
    <row r="444" spans="6:12">
      <c r="F444" s="694"/>
      <c r="H444" s="694"/>
      <c r="I444" s="694"/>
      <c r="L444" s="694"/>
    </row>
    <row r="445" spans="6:12">
      <c r="F445" s="694"/>
      <c r="H445" s="694"/>
      <c r="I445" s="694"/>
      <c r="L445" s="694"/>
    </row>
    <row r="446" spans="6:12">
      <c r="F446" s="694"/>
      <c r="H446" s="694"/>
      <c r="I446" s="694"/>
      <c r="L446" s="694"/>
    </row>
    <row r="447" spans="6:12">
      <c r="F447" s="694"/>
      <c r="H447" s="694"/>
      <c r="I447" s="694"/>
      <c r="L447" s="694"/>
    </row>
    <row r="448" spans="6:12">
      <c r="F448" s="694"/>
      <c r="H448" s="694"/>
      <c r="I448" s="694"/>
      <c r="L448" s="694"/>
    </row>
    <row r="449" spans="6:12">
      <c r="F449" s="694"/>
      <c r="H449" s="694"/>
      <c r="I449" s="694"/>
      <c r="L449" s="694"/>
    </row>
    <row r="450" spans="6:12">
      <c r="F450" s="694"/>
      <c r="H450" s="694"/>
      <c r="I450" s="694"/>
      <c r="L450" s="694"/>
    </row>
    <row r="451" spans="6:12">
      <c r="F451" s="694"/>
      <c r="H451" s="694"/>
      <c r="I451" s="694"/>
      <c r="L451" s="694"/>
    </row>
    <row r="452" spans="6:12">
      <c r="F452" s="694"/>
      <c r="H452" s="694"/>
      <c r="I452" s="694"/>
      <c r="L452" s="694"/>
    </row>
    <row r="453" spans="6:12">
      <c r="F453" s="694"/>
      <c r="H453" s="694"/>
      <c r="I453" s="694"/>
      <c r="L453" s="694"/>
    </row>
    <row r="454" spans="6:12">
      <c r="F454" s="694"/>
      <c r="H454" s="694"/>
      <c r="I454" s="694"/>
      <c r="L454" s="694"/>
    </row>
    <row r="455" spans="6:12">
      <c r="F455" s="694"/>
      <c r="H455" s="694"/>
      <c r="I455" s="694"/>
      <c r="L455" s="694"/>
    </row>
    <row r="456" spans="6:12">
      <c r="F456" s="694"/>
      <c r="H456" s="694"/>
      <c r="I456" s="694"/>
      <c r="L456" s="694"/>
    </row>
    <row r="457" spans="6:12">
      <c r="F457" s="694"/>
      <c r="H457" s="694"/>
      <c r="I457" s="694"/>
      <c r="L457" s="694"/>
    </row>
    <row r="458" spans="6:12">
      <c r="F458" s="694"/>
      <c r="H458" s="694"/>
      <c r="I458" s="694"/>
      <c r="L458" s="694"/>
    </row>
    <row r="459" spans="6:12">
      <c r="F459" s="694"/>
      <c r="H459" s="694"/>
      <c r="I459" s="694"/>
      <c r="L459" s="694"/>
    </row>
    <row r="460" spans="6:12">
      <c r="F460" s="694"/>
      <c r="H460" s="694"/>
      <c r="I460" s="694"/>
      <c r="L460" s="694"/>
    </row>
    <row r="461" spans="6:12">
      <c r="F461" s="694"/>
      <c r="H461" s="694"/>
      <c r="I461" s="694"/>
      <c r="L461" s="694"/>
    </row>
    <row r="462" spans="6:12">
      <c r="F462" s="694"/>
      <c r="H462" s="694"/>
      <c r="I462" s="694"/>
      <c r="L462" s="694"/>
    </row>
    <row r="463" spans="6:12">
      <c r="F463" s="694"/>
      <c r="H463" s="694"/>
      <c r="I463" s="694"/>
      <c r="L463" s="694"/>
    </row>
    <row r="464" spans="6:12">
      <c r="F464" s="694"/>
      <c r="H464" s="694"/>
      <c r="I464" s="694"/>
      <c r="L464" s="694"/>
    </row>
    <row r="465" spans="6:12">
      <c r="F465" s="694"/>
      <c r="H465" s="694"/>
      <c r="I465" s="694"/>
      <c r="L465" s="694"/>
    </row>
    <row r="466" spans="6:12">
      <c r="F466" s="694"/>
      <c r="H466" s="694"/>
      <c r="I466" s="694"/>
      <c r="L466" s="694"/>
    </row>
    <row r="467" spans="6:12">
      <c r="F467" s="694"/>
      <c r="H467" s="694"/>
      <c r="I467" s="694"/>
      <c r="L467" s="694"/>
    </row>
    <row r="468" spans="6:12">
      <c r="F468" s="694"/>
      <c r="H468" s="694"/>
      <c r="I468" s="694"/>
      <c r="L468" s="694"/>
    </row>
    <row r="469" spans="6:12">
      <c r="F469" s="694"/>
      <c r="H469" s="694"/>
      <c r="I469" s="694"/>
      <c r="L469" s="694"/>
    </row>
    <row r="470" spans="6:12">
      <c r="F470" s="694"/>
      <c r="H470" s="694"/>
      <c r="I470" s="694"/>
      <c r="L470" s="694"/>
    </row>
    <row r="471" spans="6:12">
      <c r="F471" s="694"/>
      <c r="H471" s="694"/>
      <c r="I471" s="694"/>
      <c r="L471" s="694"/>
    </row>
    <row r="472" spans="6:12">
      <c r="F472" s="694"/>
      <c r="H472" s="694"/>
      <c r="I472" s="694"/>
      <c r="L472" s="694"/>
    </row>
    <row r="473" spans="6:12">
      <c r="F473" s="694"/>
      <c r="H473" s="694"/>
      <c r="I473" s="694"/>
      <c r="L473" s="694"/>
    </row>
    <row r="474" spans="6:12">
      <c r="F474" s="694"/>
      <c r="H474" s="694"/>
      <c r="I474" s="694"/>
      <c r="L474" s="694"/>
    </row>
    <row r="475" spans="6:12">
      <c r="F475" s="694"/>
      <c r="H475" s="694"/>
      <c r="I475" s="694"/>
      <c r="L475" s="694"/>
    </row>
    <row r="476" spans="6:12">
      <c r="F476" s="694"/>
      <c r="H476" s="694"/>
      <c r="I476" s="694"/>
      <c r="L476" s="694"/>
    </row>
    <row r="477" spans="6:12">
      <c r="F477" s="694"/>
      <c r="H477" s="694"/>
      <c r="I477" s="694"/>
      <c r="L477" s="694"/>
    </row>
    <row r="478" spans="6:12">
      <c r="F478" s="694"/>
      <c r="H478" s="694"/>
      <c r="I478" s="694"/>
      <c r="L478" s="694"/>
    </row>
    <row r="479" spans="6:12">
      <c r="F479" s="694"/>
      <c r="H479" s="694"/>
      <c r="I479" s="694"/>
      <c r="L479" s="694"/>
    </row>
    <row r="480" spans="6:12">
      <c r="F480" s="694"/>
      <c r="H480" s="694"/>
      <c r="I480" s="694"/>
      <c r="L480" s="694"/>
    </row>
    <row r="481" spans="6:12">
      <c r="F481" s="694"/>
      <c r="H481" s="694"/>
      <c r="I481" s="694"/>
      <c r="L481" s="694"/>
    </row>
    <row r="482" spans="6:12">
      <c r="F482" s="694"/>
      <c r="H482" s="694"/>
      <c r="I482" s="694"/>
      <c r="L482" s="694"/>
    </row>
    <row r="483" spans="6:12">
      <c r="F483" s="694"/>
      <c r="H483" s="694"/>
      <c r="I483" s="694"/>
      <c r="L483" s="694"/>
    </row>
    <row r="484" spans="6:12">
      <c r="F484" s="694"/>
      <c r="H484" s="694"/>
      <c r="I484" s="694"/>
      <c r="L484" s="694"/>
    </row>
    <row r="485" spans="6:12">
      <c r="F485" s="694"/>
      <c r="H485" s="694"/>
      <c r="I485" s="694"/>
      <c r="L485" s="694"/>
    </row>
    <row r="486" spans="6:12">
      <c r="F486" s="694"/>
      <c r="H486" s="694"/>
      <c r="I486" s="694"/>
      <c r="L486" s="694"/>
    </row>
    <row r="487" spans="6:12">
      <c r="F487" s="694"/>
      <c r="H487" s="694"/>
      <c r="I487" s="694"/>
      <c r="L487" s="694"/>
    </row>
    <row r="488" spans="6:12">
      <c r="F488" s="694"/>
      <c r="H488" s="694"/>
      <c r="I488" s="694"/>
      <c r="L488" s="694"/>
    </row>
    <row r="489" spans="6:12">
      <c r="F489" s="694"/>
      <c r="H489" s="694"/>
      <c r="I489" s="694"/>
      <c r="L489" s="694"/>
    </row>
    <row r="490" spans="6:12">
      <c r="F490" s="694"/>
      <c r="H490" s="694"/>
      <c r="I490" s="694"/>
      <c r="L490" s="694"/>
    </row>
    <row r="491" spans="6:12">
      <c r="F491" s="694"/>
      <c r="H491" s="694"/>
      <c r="I491" s="694"/>
      <c r="L491" s="694"/>
    </row>
    <row r="492" spans="6:12">
      <c r="F492" s="694"/>
      <c r="H492" s="694"/>
      <c r="I492" s="694"/>
      <c r="L492" s="694"/>
    </row>
    <row r="493" spans="6:12">
      <c r="F493" s="694"/>
      <c r="H493" s="694"/>
      <c r="I493" s="694"/>
      <c r="L493" s="694"/>
    </row>
    <row r="494" spans="6:12">
      <c r="F494" s="694"/>
      <c r="H494" s="694"/>
      <c r="I494" s="694"/>
      <c r="L494" s="694"/>
    </row>
    <row r="495" spans="6:12">
      <c r="F495" s="694"/>
      <c r="H495" s="694"/>
      <c r="I495" s="694"/>
      <c r="L495" s="694"/>
    </row>
    <row r="496" spans="6:12">
      <c r="F496" s="694"/>
      <c r="H496" s="694"/>
      <c r="I496" s="694"/>
      <c r="L496" s="694"/>
    </row>
    <row r="497" spans="6:12">
      <c r="F497" s="694"/>
      <c r="H497" s="694"/>
      <c r="I497" s="694"/>
      <c r="L497" s="694"/>
    </row>
    <row r="498" spans="6:12">
      <c r="F498" s="694"/>
      <c r="H498" s="694"/>
      <c r="I498" s="694"/>
      <c r="L498" s="694"/>
    </row>
    <row r="499" spans="6:12">
      <c r="F499" s="694"/>
      <c r="H499" s="694"/>
      <c r="I499" s="694"/>
      <c r="L499" s="694"/>
    </row>
    <row r="500" spans="6:12">
      <c r="F500" s="694"/>
      <c r="H500" s="694"/>
      <c r="I500" s="694"/>
      <c r="L500" s="694"/>
    </row>
    <row r="501" spans="6:12">
      <c r="F501" s="694"/>
      <c r="H501" s="694"/>
      <c r="I501" s="694"/>
      <c r="L501" s="694"/>
    </row>
    <row r="502" spans="6:12">
      <c r="F502" s="694"/>
      <c r="H502" s="694"/>
      <c r="I502" s="694"/>
      <c r="L502" s="694"/>
    </row>
    <row r="503" spans="6:12">
      <c r="F503" s="694"/>
      <c r="H503" s="694"/>
      <c r="I503" s="694"/>
      <c r="L503" s="694"/>
    </row>
    <row r="504" spans="6:12">
      <c r="F504" s="694"/>
      <c r="H504" s="694"/>
      <c r="I504" s="694"/>
      <c r="L504" s="694"/>
    </row>
    <row r="505" spans="6:12">
      <c r="F505" s="694"/>
      <c r="H505" s="694"/>
      <c r="I505" s="694"/>
      <c r="L505" s="694"/>
    </row>
    <row r="506" spans="6:12">
      <c r="F506" s="694"/>
      <c r="H506" s="694"/>
      <c r="I506" s="694"/>
      <c r="L506" s="694"/>
    </row>
    <row r="507" spans="6:12">
      <c r="F507" s="694"/>
      <c r="H507" s="694"/>
      <c r="I507" s="694"/>
      <c r="L507" s="694"/>
    </row>
    <row r="508" spans="6:12">
      <c r="F508" s="694"/>
      <c r="H508" s="694"/>
      <c r="I508" s="694"/>
      <c r="L508" s="694"/>
    </row>
    <row r="509" spans="6:12">
      <c r="F509" s="694"/>
      <c r="H509" s="694"/>
      <c r="I509" s="694"/>
      <c r="L509" s="694"/>
    </row>
    <row r="510" spans="6:12">
      <c r="F510" s="694"/>
      <c r="H510" s="694"/>
      <c r="I510" s="694"/>
      <c r="L510" s="694"/>
    </row>
    <row r="511" spans="6:12">
      <c r="F511" s="694"/>
      <c r="H511" s="694"/>
      <c r="I511" s="694"/>
      <c r="L511" s="694"/>
    </row>
    <row r="512" spans="6:12">
      <c r="F512" s="694"/>
      <c r="H512" s="694"/>
      <c r="I512" s="694"/>
      <c r="L512" s="694"/>
    </row>
    <row r="513" spans="6:12">
      <c r="F513" s="694"/>
      <c r="H513" s="694"/>
      <c r="I513" s="694"/>
      <c r="L513" s="694"/>
    </row>
    <row r="514" spans="6:12">
      <c r="F514" s="694"/>
      <c r="H514" s="694"/>
      <c r="I514" s="694"/>
      <c r="L514" s="694"/>
    </row>
    <row r="515" spans="6:12">
      <c r="F515" s="694"/>
      <c r="H515" s="694"/>
      <c r="I515" s="694"/>
      <c r="L515" s="694"/>
    </row>
    <row r="516" spans="6:12">
      <c r="F516" s="694"/>
      <c r="H516" s="694"/>
      <c r="I516" s="694"/>
      <c r="L516" s="694"/>
    </row>
    <row r="517" spans="6:12">
      <c r="F517" s="694"/>
      <c r="H517" s="694"/>
      <c r="I517" s="694"/>
      <c r="L517" s="694"/>
    </row>
    <row r="518" spans="6:12">
      <c r="F518" s="694"/>
      <c r="H518" s="694"/>
      <c r="I518" s="694"/>
      <c r="L518" s="694"/>
    </row>
    <row r="519" spans="6:12">
      <c r="F519" s="694"/>
      <c r="H519" s="694"/>
      <c r="I519" s="694"/>
      <c r="L519" s="694"/>
    </row>
  </sheetData>
  <sheetProtection selectLockedCells="1"/>
  <mergeCells count="24">
    <mergeCell ref="A90:R90"/>
    <mergeCell ref="C82:D82"/>
    <mergeCell ref="C52:D52"/>
    <mergeCell ref="C61:D61"/>
    <mergeCell ref="B73:C73"/>
    <mergeCell ref="C66:D66"/>
    <mergeCell ref="A71:R71"/>
    <mergeCell ref="A80:R80"/>
    <mergeCell ref="A66:B66"/>
    <mergeCell ref="A59:R59"/>
    <mergeCell ref="H1:M1"/>
    <mergeCell ref="A61:B61"/>
    <mergeCell ref="A43:B43"/>
    <mergeCell ref="A52:B52"/>
    <mergeCell ref="B1:E1"/>
    <mergeCell ref="C14:D14"/>
    <mergeCell ref="C21:D21"/>
    <mergeCell ref="C43:D43"/>
    <mergeCell ref="B28:C28"/>
    <mergeCell ref="A12:R12"/>
    <mergeCell ref="A19:R19"/>
    <mergeCell ref="A26:R26"/>
    <mergeCell ref="A41:R41"/>
    <mergeCell ref="A48:C49"/>
  </mergeCells>
  <pageMargins left="0.7" right="0.7" top="0.75" bottom="0.75" header="0.3" footer="0.3"/>
  <pageSetup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9BCB-CAE9-4EDD-8E83-88632BFF5CA0}">
  <sheetPr>
    <tabColor rgb="FF009999"/>
  </sheetPr>
  <dimension ref="A1:V263"/>
  <sheetViews>
    <sheetView topLeftCell="A28" zoomScale="70" zoomScaleNormal="70" workbookViewId="0">
      <selection activeCell="D32" sqref="D32:D35"/>
    </sheetView>
  </sheetViews>
  <sheetFormatPr baseColWidth="10" defaultColWidth="8.85546875" defaultRowHeight="15.75"/>
  <cols>
    <col min="1" max="1" width="46.140625" style="694" customWidth="1"/>
    <col min="2" max="2" width="30.42578125" style="694" bestFit="1" customWidth="1"/>
    <col min="3" max="3" width="28.7109375" style="694" customWidth="1"/>
    <col min="4" max="4" width="27" style="694" customWidth="1"/>
    <col min="5" max="5" width="19.7109375" style="694" customWidth="1"/>
    <col min="6" max="6" width="21.140625" style="1026" customWidth="1"/>
    <col min="7" max="7" width="17.140625" style="694" customWidth="1"/>
    <col min="8" max="8" width="21.28515625" style="711" customWidth="1"/>
    <col min="9" max="9" width="16.28515625" style="711" customWidth="1"/>
    <col min="10" max="10" width="14.5703125" style="694" customWidth="1"/>
    <col min="11" max="11" width="17.85546875" style="694" customWidth="1"/>
    <col min="12" max="12" width="14.85546875" style="695" customWidth="1"/>
    <col min="13" max="13" width="14.42578125" style="695" customWidth="1"/>
    <col min="14" max="14" width="11.7109375" style="695" customWidth="1"/>
    <col min="15" max="15" width="15.140625" style="695" customWidth="1"/>
    <col min="16" max="16" width="14.42578125" style="695" customWidth="1"/>
    <col min="17" max="17" width="15.28515625" style="695" customWidth="1"/>
    <col min="18" max="18" width="13.42578125" style="696" customWidth="1"/>
    <col min="19" max="19" width="12.42578125" style="695" customWidth="1"/>
    <col min="20" max="20" width="8.85546875" style="695"/>
    <col min="21" max="21" width="12" style="695" customWidth="1"/>
    <col min="22" max="16384" width="8.85546875" style="694"/>
  </cols>
  <sheetData>
    <row r="1" spans="1:21" ht="51.75" customHeight="1" thickBot="1">
      <c r="A1" s="1102" t="s">
        <v>140</v>
      </c>
      <c r="B1" s="2045" t="s">
        <v>1161</v>
      </c>
      <c r="C1" s="2022"/>
      <c r="D1" s="2022"/>
      <c r="E1" s="2023"/>
      <c r="H1" s="2030" t="s">
        <v>414</v>
      </c>
      <c r="I1" s="2031"/>
      <c r="J1" s="2031"/>
      <c r="K1" s="2031"/>
      <c r="L1" s="2031"/>
      <c r="M1" s="2032"/>
    </row>
    <row r="2" spans="1:21" ht="34.5" customHeight="1">
      <c r="A2" s="738"/>
      <c r="B2" s="710"/>
      <c r="H2" s="733" t="s">
        <v>415</v>
      </c>
      <c r="I2" s="734"/>
      <c r="J2" s="735" t="s">
        <v>416</v>
      </c>
      <c r="K2" s="1103"/>
      <c r="L2" s="735" t="s">
        <v>417</v>
      </c>
      <c r="M2" s="1104"/>
    </row>
    <row r="3" spans="1:21" ht="37.5">
      <c r="A3" s="738"/>
      <c r="B3" s="692" t="s">
        <v>547</v>
      </c>
      <c r="C3" s="711"/>
      <c r="D3" s="711"/>
      <c r="G3" s="695"/>
      <c r="H3" s="712"/>
      <c r="I3" s="712"/>
      <c r="J3" s="712"/>
      <c r="K3" s="712"/>
      <c r="L3" s="712"/>
      <c r="M3" s="712"/>
      <c r="Q3" s="694"/>
      <c r="R3" s="694"/>
      <c r="S3" s="694"/>
      <c r="T3" s="694"/>
      <c r="U3" s="694"/>
    </row>
    <row r="4" spans="1:21" ht="18.75">
      <c r="A4" s="692" t="s">
        <v>161</v>
      </c>
      <c r="B4" s="739">
        <f>SUM(F13:F25)</f>
        <v>0</v>
      </c>
      <c r="C4" s="711"/>
      <c r="D4" s="711"/>
      <c r="H4" s="694"/>
      <c r="I4" s="694"/>
      <c r="L4" s="694"/>
      <c r="M4" s="694"/>
      <c r="N4" s="694"/>
      <c r="O4" s="694"/>
      <c r="P4" s="694"/>
      <c r="Q4" s="694"/>
      <c r="R4" s="694"/>
      <c r="S4" s="694"/>
      <c r="T4" s="694"/>
      <c r="U4" s="694"/>
    </row>
    <row r="5" spans="1:21" ht="18.75">
      <c r="A5" s="692" t="s">
        <v>165</v>
      </c>
      <c r="B5" s="1027">
        <f>SUM(F32:F35)</f>
        <v>0</v>
      </c>
      <c r="C5" s="797"/>
      <c r="D5" s="797"/>
      <c r="E5" s="797"/>
      <c r="F5" s="797"/>
      <c r="H5" s="694"/>
      <c r="I5" s="694"/>
      <c r="L5" s="694"/>
      <c r="M5" s="694"/>
      <c r="N5" s="694"/>
      <c r="O5" s="694"/>
      <c r="P5" s="694"/>
      <c r="Q5" s="694"/>
      <c r="R5" s="694"/>
      <c r="S5" s="694"/>
      <c r="T5" s="694"/>
      <c r="U5" s="694"/>
    </row>
    <row r="6" spans="1:21" ht="18.75">
      <c r="A6" s="692" t="s">
        <v>1011</v>
      </c>
      <c r="B6" s="1071">
        <f>SUM(C42:C44)</f>
        <v>0</v>
      </c>
      <c r="C6" s="711"/>
      <c r="D6" s="711"/>
      <c r="H6" s="694"/>
      <c r="I6" s="694"/>
      <c r="L6" s="694"/>
      <c r="M6" s="694"/>
      <c r="N6" s="694"/>
      <c r="O6" s="694"/>
      <c r="P6" s="694"/>
      <c r="Q6" s="694"/>
      <c r="R6" s="694"/>
      <c r="S6" s="694"/>
      <c r="T6" s="694"/>
      <c r="U6" s="694"/>
    </row>
    <row r="7" spans="1:21" ht="18.75">
      <c r="A7" s="692" t="s">
        <v>424</v>
      </c>
      <c r="B7" s="700">
        <f>SUM(B4:B6)</f>
        <v>0</v>
      </c>
      <c r="C7" s="711"/>
      <c r="D7" s="711"/>
      <c r="H7" s="694"/>
      <c r="I7" s="694"/>
      <c r="L7" s="694"/>
      <c r="M7" s="694"/>
      <c r="N7" s="694"/>
      <c r="O7" s="694"/>
      <c r="P7" s="694"/>
      <c r="Q7" s="694"/>
      <c r="R7" s="694"/>
      <c r="S7" s="694"/>
      <c r="T7" s="694"/>
      <c r="U7" s="694"/>
    </row>
    <row r="8" spans="1:21">
      <c r="H8" s="694"/>
      <c r="I8" s="694"/>
      <c r="L8" s="694"/>
      <c r="M8" s="694"/>
      <c r="N8" s="694"/>
      <c r="O8" s="694"/>
      <c r="P8" s="694"/>
      <c r="Q8" s="694"/>
      <c r="R8" s="694"/>
      <c r="S8" s="694"/>
      <c r="T8" s="694"/>
      <c r="U8" s="694"/>
    </row>
    <row r="9" spans="1:21" s="740" customFormat="1" ht="36">
      <c r="A9" s="2009" t="s">
        <v>1162</v>
      </c>
      <c r="B9" s="2010"/>
      <c r="C9" s="2010"/>
      <c r="D9" s="2010"/>
      <c r="E9" s="2010"/>
      <c r="F9" s="2010"/>
      <c r="G9" s="2010"/>
      <c r="H9" s="2010"/>
      <c r="I9" s="2010"/>
      <c r="J9" s="2010"/>
      <c r="K9" s="2010"/>
      <c r="L9" s="2010"/>
      <c r="M9" s="2010"/>
      <c r="N9" s="2010"/>
      <c r="O9" s="2010"/>
      <c r="P9" s="2010"/>
      <c r="Q9" s="2011"/>
      <c r="R9" s="1124"/>
      <c r="S9" s="1105"/>
      <c r="T9" s="1105"/>
      <c r="U9" s="1105"/>
    </row>
    <row r="10" spans="1:21">
      <c r="A10" s="920"/>
    </row>
    <row r="11" spans="1:21" s="743" customFormat="1" ht="24" thickBot="1">
      <c r="A11" s="724"/>
      <c r="D11" s="1991" t="s">
        <v>427</v>
      </c>
      <c r="E11" s="1992"/>
      <c r="F11" s="1106"/>
      <c r="H11" s="926"/>
      <c r="I11" s="926"/>
      <c r="L11" s="1107"/>
      <c r="M11" s="1107"/>
      <c r="N11" s="1107"/>
      <c r="O11" s="1107"/>
      <c r="P11" s="1107"/>
      <c r="Q11" s="1107"/>
      <c r="R11" s="1108"/>
      <c r="S11" s="1107"/>
      <c r="T11" s="1107"/>
      <c r="U11" s="1107"/>
    </row>
    <row r="12" spans="1:21" s="695" customFormat="1" ht="75">
      <c r="A12" s="692" t="s">
        <v>1075</v>
      </c>
      <c r="B12" s="692" t="s">
        <v>1163</v>
      </c>
      <c r="C12" s="692" t="s">
        <v>1164</v>
      </c>
      <c r="D12" s="692" t="s">
        <v>1165</v>
      </c>
      <c r="E12" s="692" t="s">
        <v>1166</v>
      </c>
      <c r="F12" s="693" t="s">
        <v>504</v>
      </c>
    </row>
    <row r="13" spans="1:21" s="695" customFormat="1">
      <c r="A13" s="705" t="s">
        <v>72</v>
      </c>
      <c r="B13" s="915"/>
      <c r="C13" s="915"/>
      <c r="D13" s="915"/>
      <c r="E13" s="739">
        <f>SUM(B13*C13*D13*2)</f>
        <v>0</v>
      </c>
      <c r="F13" s="701">
        <f>'Emission Factors'!D722*E13/1000</f>
        <v>0</v>
      </c>
    </row>
    <row r="14" spans="1:21" s="695" customFormat="1">
      <c r="A14" s="705" t="s">
        <v>72</v>
      </c>
      <c r="B14" s="915"/>
      <c r="C14" s="915"/>
      <c r="D14" s="915"/>
      <c r="E14" s="739">
        <f t="shared" ref="E14:E24" si="0">SUM(B14*C14*D14*2)</f>
        <v>0</v>
      </c>
      <c r="F14" s="701">
        <f>'Emission Factors'!D722*E14/1000</f>
        <v>0</v>
      </c>
    </row>
    <row r="15" spans="1:21" s="695" customFormat="1">
      <c r="A15" s="705" t="s">
        <v>72</v>
      </c>
      <c r="B15" s="915"/>
      <c r="C15" s="915"/>
      <c r="D15" s="915"/>
      <c r="E15" s="739">
        <f t="shared" si="0"/>
        <v>0</v>
      </c>
      <c r="F15" s="701">
        <f>'Emission Factors'!D722*E15/1000</f>
        <v>0</v>
      </c>
    </row>
    <row r="16" spans="1:21" s="695" customFormat="1">
      <c r="A16" s="705" t="s">
        <v>72</v>
      </c>
      <c r="B16" s="915"/>
      <c r="C16" s="915"/>
      <c r="D16" s="915"/>
      <c r="E16" s="739">
        <f t="shared" si="0"/>
        <v>0</v>
      </c>
      <c r="F16" s="701">
        <f>'Emission Factors'!D722*E16/1000</f>
        <v>0</v>
      </c>
    </row>
    <row r="17" spans="1:22" s="695" customFormat="1">
      <c r="A17" s="705" t="s">
        <v>1079</v>
      </c>
      <c r="B17" s="915"/>
      <c r="C17" s="915"/>
      <c r="D17" s="915"/>
      <c r="E17" s="739">
        <f t="shared" si="0"/>
        <v>0</v>
      </c>
      <c r="F17" s="701">
        <f>'Emission Factors'!D725*E17/1000</f>
        <v>0</v>
      </c>
    </row>
    <row r="18" spans="1:22" s="695" customFormat="1">
      <c r="A18" s="705" t="s">
        <v>1167</v>
      </c>
      <c r="B18" s="915"/>
      <c r="C18" s="915"/>
      <c r="D18" s="915"/>
      <c r="E18" s="739">
        <f t="shared" si="0"/>
        <v>0</v>
      </c>
      <c r="F18" s="701">
        <f>'Emission Factors'!D726*E18/1000</f>
        <v>0</v>
      </c>
    </row>
    <row r="19" spans="1:22" s="695" customFormat="1">
      <c r="A19" s="705" t="s">
        <v>1168</v>
      </c>
      <c r="B19" s="915"/>
      <c r="C19" s="915"/>
      <c r="D19" s="915"/>
      <c r="E19" s="739">
        <f t="shared" si="0"/>
        <v>0</v>
      </c>
      <c r="F19" s="701">
        <f>'Emission Factors'!D727*E19/1000</f>
        <v>0</v>
      </c>
    </row>
    <row r="20" spans="1:22" s="695" customFormat="1">
      <c r="A20" s="705"/>
      <c r="B20" s="915"/>
      <c r="C20" s="915"/>
      <c r="D20" s="915"/>
      <c r="E20" s="739">
        <f t="shared" si="0"/>
        <v>0</v>
      </c>
      <c r="F20" s="701"/>
    </row>
    <row r="21" spans="1:22" s="695" customFormat="1">
      <c r="A21" s="705"/>
      <c r="B21" s="915"/>
      <c r="C21" s="915"/>
      <c r="D21" s="915"/>
      <c r="E21" s="739">
        <f t="shared" si="0"/>
        <v>0</v>
      </c>
      <c r="F21" s="701">
        <f>'Emission Factors'!D728*E21/1000</f>
        <v>0</v>
      </c>
    </row>
    <row r="22" spans="1:22" s="695" customFormat="1">
      <c r="A22" s="705"/>
      <c r="B22" s="915"/>
      <c r="C22" s="915"/>
      <c r="D22" s="915"/>
      <c r="E22" s="739">
        <f t="shared" si="0"/>
        <v>0</v>
      </c>
      <c r="F22" s="701">
        <f>'Emission Factors'!D831*E22/1000</f>
        <v>0</v>
      </c>
    </row>
    <row r="23" spans="1:22" s="695" customFormat="1">
      <c r="A23" s="705"/>
      <c r="B23" s="915"/>
      <c r="C23" s="915"/>
      <c r="D23" s="915"/>
      <c r="E23" s="739">
        <f t="shared" si="0"/>
        <v>0</v>
      </c>
      <c r="F23" s="701">
        <f>'Emission Factors'!D832*E23/1000</f>
        <v>0</v>
      </c>
    </row>
    <row r="24" spans="1:22" s="695" customFormat="1">
      <c r="A24" s="705"/>
      <c r="B24" s="915"/>
      <c r="C24" s="915"/>
      <c r="D24" s="915"/>
      <c r="E24" s="739">
        <f t="shared" si="0"/>
        <v>0</v>
      </c>
      <c r="F24" s="701">
        <f>'Emission Factors'!D833*E24/1000</f>
        <v>0</v>
      </c>
    </row>
    <row r="25" spans="1:22" s="695" customFormat="1">
      <c r="A25" s="705"/>
      <c r="B25" s="915"/>
      <c r="C25" s="915"/>
      <c r="D25" s="915"/>
      <c r="E25" s="739">
        <f t="shared" ref="E25" si="1">SUM(B25*C25*D25*2)</f>
        <v>0</v>
      </c>
      <c r="F25" s="701">
        <f>'Emission Factors'!D834*E25/1000</f>
        <v>0</v>
      </c>
    </row>
    <row r="26" spans="1:22">
      <c r="A26" s="769" t="s">
        <v>1169</v>
      </c>
      <c r="F26" s="694"/>
      <c r="H26" s="694"/>
      <c r="I26" s="695"/>
      <c r="J26" s="695"/>
      <c r="K26" s="695"/>
      <c r="N26" s="696"/>
      <c r="R26" s="694"/>
      <c r="S26" s="694"/>
      <c r="T26" s="694"/>
      <c r="U26" s="694"/>
    </row>
    <row r="27" spans="1:22" s="695" customFormat="1">
      <c r="A27" s="694"/>
      <c r="B27" s="694"/>
      <c r="C27" s="694"/>
    </row>
    <row r="28" spans="1:22" s="1105" customFormat="1" ht="36">
      <c r="A28" s="2009" t="s">
        <v>1170</v>
      </c>
      <c r="B28" s="2010"/>
      <c r="C28" s="2010"/>
      <c r="D28" s="2010"/>
      <c r="E28" s="2010"/>
      <c r="F28" s="2010"/>
      <c r="G28" s="2010"/>
      <c r="H28" s="2010"/>
      <c r="I28" s="2010"/>
      <c r="J28" s="2010"/>
      <c r="K28" s="2010"/>
      <c r="L28" s="2010"/>
      <c r="M28" s="2010"/>
      <c r="N28" s="2010"/>
      <c r="O28" s="2010"/>
      <c r="P28" s="2010"/>
      <c r="Q28" s="2011"/>
      <c r="R28" s="1124"/>
      <c r="V28" s="740"/>
    </row>
    <row r="29" spans="1:22" s="695" customFormat="1">
      <c r="A29" s="920"/>
      <c r="B29" s="694"/>
      <c r="C29" s="694"/>
      <c r="D29" s="694"/>
      <c r="E29" s="694"/>
      <c r="F29" s="1026"/>
      <c r="G29" s="694"/>
      <c r="H29" s="711"/>
      <c r="I29" s="711"/>
      <c r="J29" s="694"/>
      <c r="K29" s="694"/>
      <c r="R29" s="696"/>
      <c r="V29" s="694"/>
    </row>
    <row r="30" spans="1:22" s="1107" customFormat="1" ht="24" thickBot="1">
      <c r="A30" s="724"/>
      <c r="B30" s="743"/>
      <c r="C30" s="743"/>
      <c r="D30" s="1991" t="s">
        <v>427</v>
      </c>
      <c r="E30" s="1992"/>
      <c r="F30" s="743"/>
      <c r="G30" s="926"/>
      <c r="H30" s="926"/>
      <c r="I30" s="743"/>
      <c r="J30" s="743"/>
      <c r="Q30" s="1108"/>
      <c r="U30" s="743"/>
    </row>
    <row r="31" spans="1:22" s="695" customFormat="1" ht="75">
      <c r="A31" s="692" t="s">
        <v>1075</v>
      </c>
      <c r="B31" s="692" t="s">
        <v>1171</v>
      </c>
      <c r="C31" s="692" t="s">
        <v>1164</v>
      </c>
      <c r="D31" s="692" t="s">
        <v>1165</v>
      </c>
      <c r="E31" s="692" t="s">
        <v>1172</v>
      </c>
      <c r="F31" s="693" t="s">
        <v>504</v>
      </c>
      <c r="J31" s="696"/>
      <c r="N31" s="694"/>
    </row>
    <row r="32" spans="1:22" s="695" customFormat="1">
      <c r="A32" s="705" t="s">
        <v>1100</v>
      </c>
      <c r="B32" s="915"/>
      <c r="C32" s="915"/>
      <c r="D32" s="915"/>
      <c r="E32" s="739">
        <f>SUM(B32*C32*D32*2)</f>
        <v>0</v>
      </c>
      <c r="F32" s="701">
        <f>'Emission Factors'!D764*E32/1000</f>
        <v>0</v>
      </c>
      <c r="J32" s="696"/>
      <c r="N32" s="694"/>
    </row>
    <row r="33" spans="1:22" s="695" customFormat="1">
      <c r="A33" s="705" t="s">
        <v>1100</v>
      </c>
      <c r="B33" s="915"/>
      <c r="C33" s="915"/>
      <c r="D33" s="915"/>
      <c r="E33" s="739">
        <f>SUM(B33*C33*D33*2)</f>
        <v>0</v>
      </c>
      <c r="F33" s="701">
        <f>'Emission Factors'!D765*E33/1000</f>
        <v>0</v>
      </c>
      <c r="G33" s="695" t="s">
        <v>1173</v>
      </c>
      <c r="J33" s="696"/>
      <c r="N33" s="694"/>
    </row>
    <row r="34" spans="1:22" s="695" customFormat="1">
      <c r="A34" s="705" t="s">
        <v>1101</v>
      </c>
      <c r="B34" s="915"/>
      <c r="C34" s="915"/>
      <c r="D34" s="915"/>
      <c r="E34" s="739">
        <f t="shared" ref="E34:E35" si="2">SUM(B34*C34*D34*2)</f>
        <v>0</v>
      </c>
      <c r="F34" s="701">
        <f>'Emission Factors'!D765*E34/1000</f>
        <v>0</v>
      </c>
      <c r="G34" s="694"/>
      <c r="H34" s="694"/>
      <c r="I34" s="694"/>
      <c r="J34" s="694"/>
      <c r="K34" s="694"/>
      <c r="Q34" s="696"/>
      <c r="U34" s="694"/>
    </row>
    <row r="35" spans="1:22" s="695" customFormat="1" ht="16.5" thickBot="1">
      <c r="A35" s="705" t="s">
        <v>1102</v>
      </c>
      <c r="B35" s="915"/>
      <c r="C35" s="915"/>
      <c r="D35" s="915"/>
      <c r="E35" s="739">
        <f t="shared" si="2"/>
        <v>0</v>
      </c>
      <c r="F35" s="1120">
        <f>'Emission Factors'!D766*E35/1000</f>
        <v>0</v>
      </c>
      <c r="G35" s="694"/>
      <c r="H35" s="694"/>
      <c r="I35" s="694"/>
      <c r="J35" s="694"/>
      <c r="K35" s="694"/>
      <c r="Q35" s="696"/>
      <c r="U35" s="694"/>
    </row>
    <row r="36" spans="1:22" s="695" customFormat="1">
      <c r="A36" s="981" t="s">
        <v>1098</v>
      </c>
      <c r="B36" s="694"/>
      <c r="C36" s="694"/>
      <c r="D36" s="694"/>
      <c r="E36" s="694"/>
      <c r="F36" s="694"/>
      <c r="G36" s="694"/>
      <c r="H36" s="694"/>
      <c r="I36" s="694"/>
      <c r="J36" s="694"/>
      <c r="K36" s="694"/>
      <c r="Q36" s="696"/>
      <c r="U36" s="694"/>
    </row>
    <row r="37" spans="1:22" s="695" customFormat="1">
      <c r="A37" s="694"/>
      <c r="B37" s="694"/>
      <c r="C37" s="694"/>
      <c r="D37" s="694"/>
      <c r="E37" s="694"/>
      <c r="F37" s="694"/>
      <c r="G37" s="694"/>
      <c r="H37" s="694"/>
      <c r="I37" s="694"/>
      <c r="J37" s="694"/>
      <c r="K37" s="694"/>
      <c r="L37" s="694"/>
      <c r="R37" s="696"/>
      <c r="V37" s="694"/>
    </row>
    <row r="38" spans="1:22" s="1105" customFormat="1" ht="36">
      <c r="A38" s="2009" t="s">
        <v>1011</v>
      </c>
      <c r="B38" s="2010"/>
      <c r="C38" s="2010"/>
      <c r="D38" s="2010"/>
      <c r="E38" s="2010"/>
      <c r="F38" s="2010"/>
      <c r="G38" s="2010"/>
      <c r="H38" s="2010"/>
      <c r="I38" s="2010"/>
      <c r="J38" s="2010"/>
      <c r="K38" s="2010"/>
      <c r="L38" s="2010"/>
      <c r="M38" s="2010"/>
      <c r="N38" s="2010"/>
      <c r="O38" s="2010"/>
      <c r="P38" s="2010"/>
      <c r="Q38" s="2011"/>
      <c r="R38" s="1124"/>
      <c r="V38" s="740"/>
    </row>
    <row r="39" spans="1:22" s="695" customFormat="1">
      <c r="A39" s="920"/>
      <c r="B39" s="694"/>
      <c r="C39" s="694"/>
      <c r="D39" s="694"/>
      <c r="E39" s="694"/>
      <c r="F39" s="1026"/>
      <c r="G39" s="694"/>
      <c r="H39" s="711"/>
      <c r="I39" s="711"/>
      <c r="J39" s="694"/>
      <c r="K39" s="694"/>
      <c r="R39" s="696"/>
      <c r="V39" s="694"/>
    </row>
    <row r="40" spans="1:22" s="743" customFormat="1" ht="24" thickBot="1">
      <c r="A40" s="724"/>
      <c r="B40" s="2058" t="s">
        <v>427</v>
      </c>
      <c r="C40" s="2059"/>
      <c r="E40" s="1118"/>
      <c r="G40" s="926"/>
      <c r="H40" s="926"/>
      <c r="K40" s="1107"/>
      <c r="L40" s="1107"/>
      <c r="M40" s="1107"/>
      <c r="N40" s="1107"/>
      <c r="O40" s="1107"/>
      <c r="P40" s="1107"/>
      <c r="Q40" s="1108"/>
      <c r="R40" s="1107"/>
      <c r="S40" s="1107"/>
      <c r="T40" s="1107"/>
    </row>
    <row r="41" spans="1:22" ht="37.5">
      <c r="A41" s="692" t="s">
        <v>1094</v>
      </c>
      <c r="B41" s="692" t="s">
        <v>1076</v>
      </c>
      <c r="C41" s="693" t="s">
        <v>504</v>
      </c>
      <c r="D41" s="696"/>
      <c r="E41" s="696"/>
      <c r="F41" s="711"/>
      <c r="G41" s="695"/>
      <c r="J41" s="696"/>
      <c r="K41" s="695"/>
      <c r="N41" s="694"/>
      <c r="O41" s="694"/>
      <c r="P41" s="694"/>
      <c r="Q41" s="694"/>
      <c r="R41" s="694"/>
      <c r="S41" s="694"/>
      <c r="T41" s="694"/>
      <c r="U41" s="694"/>
    </row>
    <row r="42" spans="1:22">
      <c r="A42" s="697" t="s">
        <v>1095</v>
      </c>
      <c r="B42" s="698"/>
      <c r="C42" s="701">
        <f>B42*'Emission Factors'!$D$768/1000</f>
        <v>0</v>
      </c>
      <c r="D42" s="695"/>
      <c r="E42" s="695"/>
      <c r="F42" s="694"/>
      <c r="H42" s="694"/>
      <c r="I42" s="694"/>
      <c r="J42" s="696"/>
      <c r="K42" s="695"/>
      <c r="N42" s="694"/>
      <c r="O42" s="694"/>
      <c r="P42" s="694"/>
      <c r="Q42" s="694"/>
      <c r="R42" s="694"/>
      <c r="S42" s="694"/>
      <c r="T42" s="694"/>
      <c r="U42" s="694"/>
    </row>
    <row r="43" spans="1:22">
      <c r="A43" s="697" t="s">
        <v>1096</v>
      </c>
      <c r="B43" s="698"/>
      <c r="C43" s="701">
        <f>B43*'Emission Factors'!$D$769/1000</f>
        <v>0</v>
      </c>
      <c r="D43" s="695"/>
      <c r="E43" s="695"/>
      <c r="F43" s="694"/>
      <c r="H43" s="694"/>
      <c r="I43" s="694"/>
      <c r="J43" s="696"/>
      <c r="K43" s="695"/>
      <c r="N43" s="694"/>
      <c r="O43" s="694"/>
      <c r="P43" s="694"/>
      <c r="Q43" s="694"/>
      <c r="R43" s="694"/>
      <c r="S43" s="694"/>
      <c r="T43" s="694"/>
      <c r="U43" s="694"/>
    </row>
    <row r="44" spans="1:22">
      <c r="A44" s="697" t="s">
        <v>1097</v>
      </c>
      <c r="B44" s="698"/>
      <c r="C44" s="701">
        <f>B44*'Emission Factors'!$D$770/1000</f>
        <v>0</v>
      </c>
      <c r="D44" s="695"/>
      <c r="E44" s="695"/>
      <c r="F44" s="694"/>
      <c r="H44" s="694"/>
      <c r="I44" s="694"/>
      <c r="J44" s="696"/>
      <c r="K44" s="695"/>
      <c r="N44" s="694"/>
      <c r="O44" s="694"/>
      <c r="P44" s="694"/>
      <c r="Q44" s="694"/>
      <c r="R44" s="694"/>
      <c r="S44" s="694"/>
      <c r="T44" s="694"/>
      <c r="U44" s="694"/>
    </row>
    <row r="45" spans="1:22">
      <c r="A45" s="981" t="s">
        <v>1098</v>
      </c>
      <c r="B45" s="695"/>
      <c r="C45" s="695"/>
      <c r="D45" s="695"/>
      <c r="E45" s="695"/>
      <c r="F45" s="695"/>
      <c r="H45" s="694"/>
      <c r="I45" s="694"/>
      <c r="K45" s="696"/>
      <c r="O45" s="694"/>
      <c r="P45" s="694"/>
      <c r="Q45" s="694"/>
      <c r="R45" s="694"/>
      <c r="S45" s="694"/>
      <c r="T45" s="694"/>
      <c r="U45" s="694"/>
    </row>
    <row r="46" spans="1:22" s="695" customFormat="1">
      <c r="A46" s="694"/>
      <c r="B46" s="694"/>
      <c r="C46" s="694"/>
      <c r="D46" s="694"/>
      <c r="E46" s="694"/>
      <c r="F46" s="694"/>
      <c r="G46" s="694"/>
      <c r="H46" s="694"/>
      <c r="I46" s="694"/>
      <c r="J46" s="694"/>
      <c r="K46" s="694"/>
      <c r="L46" s="694"/>
      <c r="R46" s="696"/>
      <c r="V46" s="694"/>
    </row>
    <row r="47" spans="1:22" s="695" customFormat="1">
      <c r="A47" s="694"/>
      <c r="B47" s="694"/>
      <c r="C47" s="694"/>
      <c r="D47" s="694"/>
      <c r="E47" s="694"/>
      <c r="F47" s="694"/>
      <c r="G47" s="694"/>
      <c r="H47" s="694"/>
      <c r="I47" s="694"/>
      <c r="J47" s="694"/>
      <c r="K47" s="694"/>
      <c r="L47" s="694"/>
      <c r="R47" s="696"/>
      <c r="V47" s="694"/>
    </row>
    <row r="48" spans="1:22" s="695" customFormat="1">
      <c r="A48" s="694"/>
      <c r="B48" s="694"/>
      <c r="C48" s="694"/>
      <c r="D48" s="694"/>
      <c r="E48" s="694"/>
      <c r="F48" s="694"/>
      <c r="G48" s="694"/>
      <c r="H48" s="694"/>
      <c r="I48" s="694"/>
      <c r="J48" s="694"/>
      <c r="K48" s="694"/>
      <c r="L48" s="694"/>
      <c r="R48" s="696"/>
      <c r="V48" s="694"/>
    </row>
    <row r="49" spans="1:22" s="695" customFormat="1">
      <c r="A49" s="694"/>
      <c r="B49" s="694"/>
      <c r="C49" s="694"/>
      <c r="D49" s="694"/>
      <c r="E49" s="694"/>
      <c r="F49" s="694"/>
      <c r="G49" s="694"/>
      <c r="H49" s="694"/>
      <c r="I49" s="694"/>
      <c r="J49" s="694"/>
      <c r="K49" s="694"/>
      <c r="L49" s="694"/>
      <c r="R49" s="696"/>
      <c r="V49" s="694"/>
    </row>
    <row r="50" spans="1:22" s="695" customFormat="1">
      <c r="A50" s="694"/>
      <c r="B50" s="694"/>
      <c r="C50" s="694"/>
      <c r="D50" s="694"/>
      <c r="E50" s="694"/>
      <c r="F50" s="694"/>
      <c r="G50" s="694"/>
      <c r="H50" s="694"/>
      <c r="I50" s="694"/>
      <c r="J50" s="694"/>
      <c r="K50" s="694"/>
      <c r="L50" s="694"/>
      <c r="R50" s="696"/>
      <c r="V50" s="694"/>
    </row>
    <row r="51" spans="1:22" s="695" customFormat="1">
      <c r="A51" s="694"/>
      <c r="B51" s="694"/>
      <c r="C51" s="694"/>
      <c r="D51" s="694"/>
      <c r="E51" s="694"/>
      <c r="F51" s="694"/>
      <c r="G51" s="694"/>
      <c r="H51" s="694"/>
      <c r="I51" s="694"/>
      <c r="J51" s="694"/>
      <c r="K51" s="694"/>
      <c r="L51" s="694"/>
      <c r="R51" s="696"/>
      <c r="V51" s="694"/>
    </row>
    <row r="52" spans="1:22" s="695" customFormat="1">
      <c r="A52" s="694"/>
      <c r="B52" s="694"/>
      <c r="C52" s="694"/>
      <c r="D52" s="694"/>
      <c r="E52" s="694"/>
      <c r="F52" s="694"/>
      <c r="G52" s="694"/>
      <c r="H52" s="694"/>
      <c r="I52" s="694"/>
      <c r="J52" s="694"/>
      <c r="K52" s="694"/>
      <c r="L52" s="694"/>
      <c r="R52" s="696"/>
      <c r="V52" s="694"/>
    </row>
    <row r="53" spans="1:22" s="695" customFormat="1">
      <c r="A53" s="694"/>
      <c r="B53" s="694"/>
      <c r="C53" s="694"/>
      <c r="D53" s="694"/>
      <c r="E53" s="694"/>
      <c r="F53" s="694"/>
      <c r="G53" s="694"/>
      <c r="H53" s="694"/>
      <c r="I53" s="694"/>
      <c r="J53" s="694"/>
      <c r="K53" s="694"/>
      <c r="L53" s="694"/>
      <c r="R53" s="696"/>
      <c r="V53" s="694"/>
    </row>
    <row r="54" spans="1:22" s="695" customFormat="1">
      <c r="A54" s="694"/>
      <c r="B54" s="694"/>
      <c r="C54" s="694"/>
      <c r="D54" s="694"/>
      <c r="E54" s="694"/>
      <c r="F54" s="694"/>
      <c r="G54" s="694"/>
      <c r="H54" s="694"/>
      <c r="I54" s="694"/>
      <c r="J54" s="694"/>
      <c r="K54" s="694"/>
      <c r="L54" s="694"/>
      <c r="R54" s="696"/>
      <c r="V54" s="694"/>
    </row>
    <row r="55" spans="1:22" s="695" customFormat="1">
      <c r="A55" s="694"/>
      <c r="B55" s="694"/>
      <c r="C55" s="694"/>
      <c r="D55" s="694"/>
      <c r="E55" s="694"/>
      <c r="F55" s="694"/>
      <c r="G55" s="694"/>
      <c r="H55" s="694"/>
      <c r="I55" s="694"/>
      <c r="J55" s="694"/>
      <c r="K55" s="694"/>
      <c r="L55" s="694"/>
      <c r="R55" s="696"/>
      <c r="V55" s="694"/>
    </row>
    <row r="56" spans="1:22" s="695" customFormat="1">
      <c r="A56" s="694"/>
      <c r="B56" s="694"/>
      <c r="C56" s="694"/>
      <c r="D56" s="694"/>
      <c r="E56" s="694"/>
      <c r="F56" s="694"/>
      <c r="G56" s="694"/>
      <c r="H56" s="694"/>
      <c r="I56" s="694"/>
      <c r="J56" s="694"/>
      <c r="K56" s="694"/>
      <c r="L56" s="694"/>
      <c r="R56" s="696"/>
      <c r="V56" s="694"/>
    </row>
    <row r="57" spans="1:22" s="695" customFormat="1">
      <c r="A57" s="694"/>
      <c r="B57" s="694"/>
      <c r="C57" s="694"/>
      <c r="D57" s="694"/>
      <c r="E57" s="694"/>
      <c r="F57" s="694"/>
      <c r="G57" s="694"/>
      <c r="H57" s="694"/>
      <c r="I57" s="694"/>
      <c r="J57" s="694"/>
      <c r="K57" s="694"/>
      <c r="L57" s="694"/>
      <c r="R57" s="696"/>
      <c r="V57" s="694"/>
    </row>
    <row r="58" spans="1:22" s="695" customFormat="1">
      <c r="A58" s="694"/>
      <c r="B58" s="694"/>
      <c r="C58" s="694"/>
      <c r="D58" s="694"/>
      <c r="E58" s="694"/>
      <c r="F58" s="694"/>
      <c r="G58" s="694"/>
      <c r="H58" s="694"/>
      <c r="I58" s="694"/>
      <c r="J58" s="694"/>
      <c r="K58" s="694"/>
      <c r="L58" s="694"/>
      <c r="R58" s="696"/>
      <c r="V58" s="694"/>
    </row>
    <row r="59" spans="1:22" s="695" customFormat="1">
      <c r="A59" s="694"/>
      <c r="B59" s="694"/>
      <c r="C59" s="694"/>
      <c r="D59" s="694"/>
      <c r="E59" s="694"/>
      <c r="F59" s="694"/>
      <c r="G59" s="694"/>
      <c r="H59" s="694"/>
      <c r="I59" s="694"/>
      <c r="J59" s="694"/>
      <c r="K59" s="694"/>
      <c r="L59" s="694"/>
      <c r="R59" s="696"/>
      <c r="V59" s="694"/>
    </row>
    <row r="60" spans="1:22" s="695" customFormat="1">
      <c r="A60" s="694"/>
      <c r="B60" s="694"/>
      <c r="C60" s="694"/>
      <c r="D60" s="694"/>
      <c r="E60" s="694"/>
      <c r="F60" s="694"/>
      <c r="G60" s="694"/>
      <c r="H60" s="694"/>
      <c r="I60" s="694"/>
      <c r="J60" s="694"/>
      <c r="K60" s="694"/>
      <c r="L60" s="694"/>
      <c r="R60" s="696"/>
      <c r="V60" s="694"/>
    </row>
    <row r="61" spans="1:22" s="695" customFormat="1">
      <c r="A61" s="694"/>
      <c r="B61" s="694"/>
      <c r="C61" s="694"/>
      <c r="D61" s="694"/>
      <c r="E61" s="694"/>
      <c r="F61" s="694"/>
      <c r="G61" s="694"/>
      <c r="H61" s="694"/>
      <c r="I61" s="694"/>
      <c r="J61" s="694"/>
      <c r="K61" s="694"/>
      <c r="L61" s="694"/>
      <c r="R61" s="696"/>
      <c r="V61" s="694"/>
    </row>
    <row r="62" spans="1:22" s="695" customFormat="1">
      <c r="A62" s="694"/>
      <c r="B62" s="694"/>
      <c r="C62" s="694"/>
      <c r="D62" s="694"/>
      <c r="E62" s="694"/>
      <c r="F62" s="694"/>
      <c r="G62" s="694"/>
      <c r="H62" s="694"/>
      <c r="I62" s="694"/>
      <c r="J62" s="694"/>
      <c r="K62" s="694"/>
      <c r="L62" s="694"/>
      <c r="R62" s="696"/>
      <c r="V62" s="694"/>
    </row>
    <row r="63" spans="1:22" s="695" customFormat="1">
      <c r="A63" s="694"/>
      <c r="B63" s="694"/>
      <c r="C63" s="694"/>
      <c r="D63" s="694"/>
      <c r="E63" s="694"/>
      <c r="F63" s="694"/>
      <c r="G63" s="694"/>
      <c r="H63" s="694"/>
      <c r="I63" s="694"/>
      <c r="J63" s="694"/>
      <c r="K63" s="694"/>
      <c r="L63" s="694"/>
      <c r="R63" s="696"/>
      <c r="V63" s="694"/>
    </row>
    <row r="64" spans="1:22" s="695" customFormat="1">
      <c r="A64" s="694"/>
      <c r="B64" s="694"/>
      <c r="C64" s="694"/>
      <c r="D64" s="694"/>
      <c r="E64" s="694"/>
      <c r="F64" s="694"/>
      <c r="G64" s="694"/>
      <c r="H64" s="694"/>
      <c r="I64" s="694"/>
      <c r="J64" s="694"/>
      <c r="K64" s="694"/>
      <c r="L64" s="694"/>
      <c r="R64" s="696"/>
      <c r="V64" s="694"/>
    </row>
    <row r="65" spans="1:22" s="695" customFormat="1">
      <c r="A65" s="694"/>
      <c r="B65" s="694"/>
      <c r="C65" s="694"/>
      <c r="D65" s="694"/>
      <c r="E65" s="694"/>
      <c r="F65" s="694"/>
      <c r="G65" s="694"/>
      <c r="H65" s="694"/>
      <c r="I65" s="694"/>
      <c r="J65" s="694"/>
      <c r="K65" s="694"/>
      <c r="L65" s="694"/>
      <c r="R65" s="696"/>
      <c r="V65" s="694"/>
    </row>
    <row r="66" spans="1:22" s="695" customFormat="1">
      <c r="A66" s="694"/>
      <c r="B66" s="694"/>
      <c r="C66" s="694"/>
      <c r="D66" s="694"/>
      <c r="E66" s="694"/>
      <c r="F66" s="694"/>
      <c r="G66" s="694"/>
      <c r="H66" s="694"/>
      <c r="I66" s="694"/>
      <c r="J66" s="694"/>
      <c r="K66" s="694"/>
      <c r="L66" s="694"/>
      <c r="R66" s="696"/>
      <c r="V66" s="694"/>
    </row>
    <row r="67" spans="1:22" s="695" customFormat="1">
      <c r="A67" s="694"/>
      <c r="B67" s="694"/>
      <c r="C67" s="694"/>
      <c r="D67" s="694"/>
      <c r="E67" s="694"/>
      <c r="F67" s="694"/>
      <c r="G67" s="694"/>
      <c r="H67" s="694"/>
      <c r="I67" s="694"/>
      <c r="J67" s="694"/>
      <c r="K67" s="694"/>
      <c r="L67" s="694"/>
      <c r="R67" s="696"/>
      <c r="V67" s="694"/>
    </row>
    <row r="68" spans="1:22" s="695" customFormat="1">
      <c r="A68" s="694"/>
      <c r="B68" s="694"/>
      <c r="C68" s="694"/>
      <c r="D68" s="694"/>
      <c r="E68" s="694"/>
      <c r="F68" s="694"/>
      <c r="G68" s="694"/>
      <c r="H68" s="694"/>
      <c r="I68" s="694"/>
      <c r="J68" s="694"/>
      <c r="K68" s="694"/>
      <c r="L68" s="694"/>
      <c r="R68" s="696"/>
      <c r="V68" s="694"/>
    </row>
    <row r="69" spans="1:22" s="695" customFormat="1">
      <c r="A69" s="694"/>
      <c r="B69" s="694"/>
      <c r="C69" s="694"/>
      <c r="D69" s="694"/>
      <c r="E69" s="694"/>
      <c r="F69" s="694"/>
      <c r="G69" s="694"/>
      <c r="H69" s="694"/>
      <c r="I69" s="694"/>
      <c r="J69" s="694"/>
      <c r="K69" s="694"/>
      <c r="L69" s="694"/>
      <c r="R69" s="696"/>
      <c r="V69" s="694"/>
    </row>
    <row r="70" spans="1:22" s="695" customFormat="1">
      <c r="A70" s="694"/>
      <c r="B70" s="694"/>
      <c r="C70" s="694"/>
      <c r="D70" s="694"/>
      <c r="E70" s="694"/>
      <c r="F70" s="694"/>
      <c r="G70" s="694"/>
      <c r="H70" s="694"/>
      <c r="I70" s="694"/>
      <c r="J70" s="694"/>
      <c r="K70" s="694"/>
      <c r="L70" s="694"/>
      <c r="R70" s="696"/>
      <c r="V70" s="694"/>
    </row>
    <row r="71" spans="1:22" s="695" customFormat="1">
      <c r="A71" s="694"/>
      <c r="B71" s="694"/>
      <c r="C71" s="694"/>
      <c r="D71" s="694"/>
      <c r="E71" s="694"/>
      <c r="F71" s="694"/>
      <c r="G71" s="694"/>
      <c r="H71" s="694"/>
      <c r="I71" s="694"/>
      <c r="J71" s="694"/>
      <c r="K71" s="694"/>
      <c r="L71" s="694"/>
      <c r="R71" s="696"/>
      <c r="V71" s="694"/>
    </row>
    <row r="72" spans="1:22" s="695" customFormat="1">
      <c r="A72" s="694"/>
      <c r="B72" s="694"/>
      <c r="C72" s="694"/>
      <c r="D72" s="694"/>
      <c r="E72" s="694"/>
      <c r="F72" s="694"/>
      <c r="G72" s="694"/>
      <c r="H72" s="694"/>
      <c r="I72" s="694"/>
      <c r="J72" s="694"/>
      <c r="K72" s="694"/>
      <c r="L72" s="694"/>
      <c r="R72" s="696"/>
      <c r="V72" s="694"/>
    </row>
    <row r="73" spans="1:22" s="695" customFormat="1">
      <c r="A73" s="694"/>
      <c r="B73" s="694"/>
      <c r="C73" s="694"/>
      <c r="D73" s="694"/>
      <c r="E73" s="694"/>
      <c r="F73" s="694"/>
      <c r="G73" s="694"/>
      <c r="H73" s="694"/>
      <c r="I73" s="694"/>
      <c r="J73" s="694"/>
      <c r="K73" s="694"/>
      <c r="L73" s="694"/>
      <c r="R73" s="696"/>
      <c r="V73" s="694"/>
    </row>
    <row r="74" spans="1:22" s="695" customFormat="1">
      <c r="A74" s="694"/>
      <c r="B74" s="694"/>
      <c r="C74" s="694"/>
      <c r="D74" s="694"/>
      <c r="E74" s="694"/>
      <c r="F74" s="694"/>
      <c r="G74" s="694"/>
      <c r="H74" s="694"/>
      <c r="I74" s="694"/>
      <c r="J74" s="694"/>
      <c r="K74" s="694"/>
      <c r="L74" s="694"/>
      <c r="R74" s="696"/>
      <c r="V74" s="694"/>
    </row>
    <row r="75" spans="1:22" s="695" customFormat="1">
      <c r="A75" s="694"/>
      <c r="B75" s="694"/>
      <c r="C75" s="694"/>
      <c r="D75" s="694"/>
      <c r="E75" s="694"/>
      <c r="F75" s="694"/>
      <c r="G75" s="694"/>
      <c r="H75" s="694"/>
      <c r="I75" s="694"/>
      <c r="J75" s="694"/>
      <c r="K75" s="694"/>
      <c r="L75" s="694"/>
      <c r="R75" s="696"/>
      <c r="V75" s="694"/>
    </row>
    <row r="76" spans="1:22" s="695" customFormat="1">
      <c r="A76" s="694"/>
      <c r="B76" s="694"/>
      <c r="C76" s="694"/>
      <c r="D76" s="694"/>
      <c r="E76" s="694"/>
      <c r="F76" s="694"/>
      <c r="G76" s="694"/>
      <c r="H76" s="694"/>
      <c r="I76" s="694"/>
      <c r="J76" s="694"/>
      <c r="K76" s="694"/>
      <c r="L76" s="694"/>
      <c r="R76" s="696"/>
      <c r="V76" s="694"/>
    </row>
    <row r="77" spans="1:22" s="695" customFormat="1">
      <c r="A77" s="694"/>
      <c r="B77" s="694"/>
      <c r="C77" s="694"/>
      <c r="D77" s="694"/>
      <c r="E77" s="694"/>
      <c r="F77" s="694"/>
      <c r="G77" s="694"/>
      <c r="H77" s="694"/>
      <c r="I77" s="694"/>
      <c r="J77" s="694"/>
      <c r="K77" s="694"/>
      <c r="L77" s="694"/>
      <c r="R77" s="696"/>
      <c r="V77" s="694"/>
    </row>
    <row r="78" spans="1:22" s="695" customFormat="1">
      <c r="A78" s="694"/>
      <c r="B78" s="694"/>
      <c r="C78" s="694"/>
      <c r="D78" s="694"/>
      <c r="E78" s="694"/>
      <c r="F78" s="694"/>
      <c r="G78" s="694"/>
      <c r="H78" s="694"/>
      <c r="I78" s="694"/>
      <c r="J78" s="694"/>
      <c r="K78" s="694"/>
      <c r="L78" s="694"/>
      <c r="R78" s="696"/>
      <c r="V78" s="694"/>
    </row>
    <row r="79" spans="1:22" s="695" customFormat="1">
      <c r="A79" s="694"/>
      <c r="B79" s="694"/>
      <c r="C79" s="694"/>
      <c r="D79" s="694"/>
      <c r="E79" s="694"/>
      <c r="F79" s="694"/>
      <c r="G79" s="694"/>
      <c r="H79" s="694"/>
      <c r="I79" s="694"/>
      <c r="J79" s="694"/>
      <c r="K79" s="694"/>
      <c r="L79" s="694"/>
      <c r="R79" s="696"/>
      <c r="V79" s="694"/>
    </row>
    <row r="80" spans="1:22" s="695" customFormat="1">
      <c r="A80" s="694"/>
      <c r="B80" s="694"/>
      <c r="C80" s="694"/>
      <c r="D80" s="694"/>
      <c r="E80" s="694"/>
      <c r="F80" s="694"/>
      <c r="G80" s="694"/>
      <c r="H80" s="694"/>
      <c r="I80" s="694"/>
      <c r="J80" s="694"/>
      <c r="K80" s="694"/>
      <c r="L80" s="694"/>
      <c r="R80" s="696"/>
      <c r="V80" s="694"/>
    </row>
    <row r="81" spans="1:22" s="695" customFormat="1">
      <c r="A81" s="694"/>
      <c r="B81" s="694"/>
      <c r="C81" s="694"/>
      <c r="D81" s="694"/>
      <c r="E81" s="694"/>
      <c r="F81" s="694"/>
      <c r="G81" s="694"/>
      <c r="H81" s="694"/>
      <c r="I81" s="694"/>
      <c r="J81" s="694"/>
      <c r="K81" s="694"/>
      <c r="L81" s="694"/>
      <c r="R81" s="696"/>
      <c r="V81" s="694"/>
    </row>
    <row r="82" spans="1:22" s="695" customFormat="1">
      <c r="A82" s="694"/>
      <c r="B82" s="694"/>
      <c r="C82" s="694"/>
      <c r="D82" s="694"/>
      <c r="E82" s="694"/>
      <c r="F82" s="694"/>
      <c r="G82" s="694"/>
      <c r="H82" s="694"/>
      <c r="I82" s="694"/>
      <c r="J82" s="694"/>
      <c r="K82" s="694"/>
      <c r="L82" s="694"/>
      <c r="R82" s="696"/>
      <c r="V82" s="694"/>
    </row>
    <row r="83" spans="1:22" s="695" customFormat="1">
      <c r="A83" s="694"/>
      <c r="B83" s="694"/>
      <c r="C83" s="694"/>
      <c r="D83" s="694"/>
      <c r="E83" s="694"/>
      <c r="F83" s="694"/>
      <c r="G83" s="694"/>
      <c r="H83" s="694"/>
      <c r="I83" s="694"/>
      <c r="J83" s="694"/>
      <c r="K83" s="694"/>
      <c r="L83" s="694"/>
      <c r="R83" s="696"/>
      <c r="V83" s="694"/>
    </row>
    <row r="84" spans="1:22" s="695" customFormat="1">
      <c r="A84" s="694"/>
      <c r="B84" s="694"/>
      <c r="C84" s="694"/>
      <c r="D84" s="694"/>
      <c r="E84" s="694"/>
      <c r="F84" s="694"/>
      <c r="G84" s="694"/>
      <c r="H84" s="694"/>
      <c r="I84" s="694"/>
      <c r="J84" s="694"/>
      <c r="K84" s="694"/>
      <c r="L84" s="694"/>
      <c r="R84" s="696"/>
      <c r="V84" s="694"/>
    </row>
    <row r="85" spans="1:22" s="695" customFormat="1">
      <c r="A85" s="694"/>
      <c r="B85" s="694"/>
      <c r="C85" s="694"/>
      <c r="D85" s="694"/>
      <c r="E85" s="694"/>
      <c r="F85" s="694"/>
      <c r="G85" s="694"/>
      <c r="H85" s="694"/>
      <c r="I85" s="694"/>
      <c r="J85" s="694"/>
      <c r="K85" s="694"/>
      <c r="L85" s="694"/>
      <c r="R85" s="696"/>
      <c r="V85" s="694"/>
    </row>
    <row r="86" spans="1:22" s="695" customFormat="1">
      <c r="A86" s="694"/>
      <c r="B86" s="694"/>
      <c r="C86" s="694"/>
      <c r="D86" s="694"/>
      <c r="E86" s="694"/>
      <c r="F86" s="694"/>
      <c r="G86" s="694"/>
      <c r="H86" s="694"/>
      <c r="I86" s="694"/>
      <c r="J86" s="694"/>
      <c r="K86" s="694"/>
      <c r="L86" s="694"/>
      <c r="R86" s="696"/>
      <c r="V86" s="694"/>
    </row>
    <row r="87" spans="1:22" s="695" customFormat="1">
      <c r="A87" s="694"/>
      <c r="B87" s="694"/>
      <c r="C87" s="694"/>
      <c r="D87" s="694"/>
      <c r="E87" s="694"/>
      <c r="F87" s="694"/>
      <c r="G87" s="694"/>
      <c r="H87" s="694"/>
      <c r="I87" s="694"/>
      <c r="J87" s="694"/>
      <c r="K87" s="694"/>
      <c r="L87" s="694"/>
      <c r="R87" s="696"/>
      <c r="V87" s="694"/>
    </row>
    <row r="88" spans="1:22" s="695" customFormat="1">
      <c r="A88" s="694"/>
      <c r="B88" s="694"/>
      <c r="C88" s="694"/>
      <c r="D88" s="694"/>
      <c r="E88" s="694"/>
      <c r="F88" s="694"/>
      <c r="G88" s="694"/>
      <c r="H88" s="694"/>
      <c r="I88" s="694"/>
      <c r="J88" s="694"/>
      <c r="K88" s="694"/>
      <c r="L88" s="694"/>
      <c r="R88" s="696"/>
      <c r="V88" s="694"/>
    </row>
    <row r="89" spans="1:22" s="695" customFormat="1">
      <c r="A89" s="694"/>
      <c r="B89" s="694"/>
      <c r="C89" s="694"/>
      <c r="D89" s="694"/>
      <c r="E89" s="694"/>
      <c r="F89" s="694"/>
      <c r="G89" s="694"/>
      <c r="H89" s="694"/>
      <c r="I89" s="694"/>
      <c r="J89" s="694"/>
      <c r="K89" s="694"/>
      <c r="L89" s="694"/>
      <c r="R89" s="696"/>
      <c r="V89" s="694"/>
    </row>
    <row r="90" spans="1:22" s="695" customFormat="1">
      <c r="A90" s="694"/>
      <c r="B90" s="694"/>
      <c r="C90" s="694"/>
      <c r="D90" s="694"/>
      <c r="E90" s="694"/>
      <c r="F90" s="694"/>
      <c r="G90" s="694"/>
      <c r="H90" s="694"/>
      <c r="I90" s="694"/>
      <c r="J90" s="694"/>
      <c r="K90" s="694"/>
      <c r="L90" s="694"/>
      <c r="R90" s="696"/>
      <c r="V90" s="694"/>
    </row>
    <row r="91" spans="1:22" s="695" customFormat="1">
      <c r="A91" s="694"/>
      <c r="B91" s="694"/>
      <c r="C91" s="694"/>
      <c r="D91" s="694"/>
      <c r="E91" s="694"/>
      <c r="F91" s="694"/>
      <c r="G91" s="694"/>
      <c r="H91" s="694"/>
      <c r="I91" s="694"/>
      <c r="J91" s="694"/>
      <c r="K91" s="694"/>
      <c r="L91" s="694"/>
      <c r="R91" s="696"/>
      <c r="V91" s="694"/>
    </row>
    <row r="92" spans="1:22" s="695" customFormat="1">
      <c r="A92" s="694"/>
      <c r="B92" s="694"/>
      <c r="C92" s="694"/>
      <c r="D92" s="694"/>
      <c r="E92" s="694"/>
      <c r="F92" s="694"/>
      <c r="G92" s="694"/>
      <c r="H92" s="694"/>
      <c r="I92" s="694"/>
      <c r="J92" s="694"/>
      <c r="K92" s="694"/>
      <c r="L92" s="694"/>
      <c r="R92" s="696"/>
      <c r="V92" s="694"/>
    </row>
    <row r="93" spans="1:22" s="695" customFormat="1">
      <c r="A93" s="694"/>
      <c r="B93" s="694"/>
      <c r="C93" s="694"/>
      <c r="D93" s="694"/>
      <c r="E93" s="694"/>
      <c r="F93" s="694"/>
      <c r="G93" s="694"/>
      <c r="H93" s="694"/>
      <c r="I93" s="694"/>
      <c r="J93" s="694"/>
      <c r="K93" s="694"/>
      <c r="L93" s="694"/>
      <c r="R93" s="696"/>
      <c r="V93" s="694"/>
    </row>
    <row r="94" spans="1:22" s="695" customFormat="1">
      <c r="A94" s="694"/>
      <c r="B94" s="694"/>
      <c r="C94" s="694"/>
      <c r="D94" s="694"/>
      <c r="E94" s="694"/>
      <c r="F94" s="694"/>
      <c r="G94" s="694"/>
      <c r="H94" s="694"/>
      <c r="I94" s="694"/>
      <c r="J94" s="694"/>
      <c r="K94" s="694"/>
      <c r="L94" s="694"/>
      <c r="R94" s="696"/>
      <c r="V94" s="694"/>
    </row>
    <row r="95" spans="1:22" s="695" customFormat="1">
      <c r="A95" s="694"/>
      <c r="B95" s="694"/>
      <c r="C95" s="694"/>
      <c r="D95" s="694"/>
      <c r="E95" s="694"/>
      <c r="F95" s="694"/>
      <c r="G95" s="694"/>
      <c r="H95" s="694"/>
      <c r="I95" s="694"/>
      <c r="J95" s="694"/>
      <c r="K95" s="694"/>
      <c r="L95" s="694"/>
      <c r="R95" s="696"/>
      <c r="V95" s="694"/>
    </row>
    <row r="96" spans="1:22" s="695" customFormat="1">
      <c r="A96" s="694"/>
      <c r="B96" s="694"/>
      <c r="C96" s="694"/>
      <c r="D96" s="694"/>
      <c r="E96" s="694"/>
      <c r="F96" s="694"/>
      <c r="G96" s="694"/>
      <c r="H96" s="694"/>
      <c r="I96" s="694"/>
      <c r="J96" s="694"/>
      <c r="K96" s="694"/>
      <c r="L96" s="694"/>
      <c r="R96" s="696"/>
      <c r="V96" s="694"/>
    </row>
    <row r="97" spans="1:22" s="695" customFormat="1">
      <c r="A97" s="694"/>
      <c r="B97" s="694"/>
      <c r="C97" s="694"/>
      <c r="D97" s="694"/>
      <c r="E97" s="694"/>
      <c r="F97" s="694"/>
      <c r="G97" s="694"/>
      <c r="H97" s="694"/>
      <c r="I97" s="694"/>
      <c r="J97" s="694"/>
      <c r="K97" s="694"/>
      <c r="L97" s="694"/>
      <c r="R97" s="696"/>
      <c r="V97" s="694"/>
    </row>
    <row r="98" spans="1:22" s="695" customFormat="1">
      <c r="A98" s="694"/>
      <c r="B98" s="694"/>
      <c r="C98" s="694"/>
      <c r="D98" s="694"/>
      <c r="E98" s="694"/>
      <c r="F98" s="694"/>
      <c r="G98" s="694"/>
      <c r="H98" s="694"/>
      <c r="I98" s="694"/>
      <c r="J98" s="694"/>
      <c r="K98" s="694"/>
      <c r="L98" s="694"/>
      <c r="R98" s="696"/>
      <c r="V98" s="694"/>
    </row>
    <row r="99" spans="1:22" s="695" customFormat="1">
      <c r="A99" s="694"/>
      <c r="B99" s="694"/>
      <c r="C99" s="694"/>
      <c r="D99" s="694"/>
      <c r="E99" s="694"/>
      <c r="F99" s="694"/>
      <c r="G99" s="694"/>
      <c r="H99" s="694"/>
      <c r="I99" s="694"/>
      <c r="J99" s="694"/>
      <c r="K99" s="694"/>
      <c r="L99" s="694"/>
      <c r="R99" s="696"/>
      <c r="V99" s="694"/>
    </row>
    <row r="100" spans="1:22" s="695" customFormat="1">
      <c r="A100" s="694"/>
      <c r="B100" s="694"/>
      <c r="C100" s="694"/>
      <c r="D100" s="694"/>
      <c r="E100" s="694"/>
      <c r="F100" s="694"/>
      <c r="G100" s="694"/>
      <c r="H100" s="694"/>
      <c r="I100" s="694"/>
      <c r="J100" s="694"/>
      <c r="K100" s="694"/>
      <c r="L100" s="694"/>
      <c r="R100" s="696"/>
      <c r="V100" s="694"/>
    </row>
    <row r="101" spans="1:22" s="695" customFormat="1">
      <c r="A101" s="694"/>
      <c r="B101" s="694"/>
      <c r="C101" s="694"/>
      <c r="D101" s="694"/>
      <c r="E101" s="694"/>
      <c r="F101" s="694"/>
      <c r="G101" s="694"/>
      <c r="H101" s="694"/>
      <c r="I101" s="694"/>
      <c r="J101" s="694"/>
      <c r="K101" s="694"/>
      <c r="L101" s="694"/>
      <c r="R101" s="696"/>
      <c r="V101" s="694"/>
    </row>
    <row r="102" spans="1:22" s="695" customFormat="1">
      <c r="A102" s="694"/>
      <c r="B102" s="694"/>
      <c r="C102" s="694"/>
      <c r="D102" s="694"/>
      <c r="E102" s="694"/>
      <c r="F102" s="694"/>
      <c r="G102" s="694"/>
      <c r="H102" s="694"/>
      <c r="I102" s="694"/>
      <c r="J102" s="694"/>
      <c r="K102" s="694"/>
      <c r="L102" s="694"/>
      <c r="R102" s="696"/>
      <c r="V102" s="694"/>
    </row>
    <row r="103" spans="1:22" s="695" customFormat="1">
      <c r="A103" s="694"/>
      <c r="B103" s="694"/>
      <c r="C103" s="694"/>
      <c r="D103" s="694"/>
      <c r="E103" s="694"/>
      <c r="F103" s="694"/>
      <c r="G103" s="694"/>
      <c r="H103" s="694"/>
      <c r="I103" s="694"/>
      <c r="J103" s="694"/>
      <c r="K103" s="694"/>
      <c r="L103" s="694"/>
      <c r="R103" s="696"/>
      <c r="V103" s="694"/>
    </row>
    <row r="104" spans="1:22" s="695" customFormat="1">
      <c r="A104" s="694"/>
      <c r="B104" s="694"/>
      <c r="C104" s="694"/>
      <c r="D104" s="694"/>
      <c r="E104" s="694"/>
      <c r="F104" s="694"/>
      <c r="G104" s="694"/>
      <c r="H104" s="694"/>
      <c r="I104" s="694"/>
      <c r="J104" s="694"/>
      <c r="K104" s="694"/>
      <c r="L104" s="694"/>
      <c r="R104" s="696"/>
      <c r="V104" s="694"/>
    </row>
    <row r="105" spans="1:22" s="695" customFormat="1">
      <c r="A105" s="694"/>
      <c r="B105" s="694"/>
      <c r="C105" s="694"/>
      <c r="D105" s="694"/>
      <c r="E105" s="694"/>
      <c r="F105" s="694"/>
      <c r="G105" s="694"/>
      <c r="H105" s="694"/>
      <c r="I105" s="694"/>
      <c r="J105" s="694"/>
      <c r="K105" s="694"/>
      <c r="L105" s="694"/>
      <c r="R105" s="696"/>
      <c r="V105" s="694"/>
    </row>
    <row r="106" spans="1:22" s="695" customFormat="1">
      <c r="A106" s="694"/>
      <c r="B106" s="694"/>
      <c r="C106" s="694"/>
      <c r="D106" s="694"/>
      <c r="E106" s="694"/>
      <c r="F106" s="694"/>
      <c r="G106" s="694"/>
      <c r="H106" s="694"/>
      <c r="I106" s="694"/>
      <c r="J106" s="694"/>
      <c r="K106" s="694"/>
      <c r="L106" s="694"/>
      <c r="R106" s="696"/>
      <c r="V106" s="694"/>
    </row>
    <row r="107" spans="1:22" s="695" customFormat="1">
      <c r="A107" s="694"/>
      <c r="B107" s="694"/>
      <c r="C107" s="694"/>
      <c r="D107" s="694"/>
      <c r="E107" s="694"/>
      <c r="F107" s="694"/>
      <c r="G107" s="694"/>
      <c r="H107" s="694"/>
      <c r="I107" s="694"/>
      <c r="J107" s="694"/>
      <c r="K107" s="694"/>
      <c r="L107" s="694"/>
      <c r="R107" s="696"/>
      <c r="V107" s="694"/>
    </row>
    <row r="108" spans="1:22" s="695" customFormat="1">
      <c r="A108" s="694"/>
      <c r="B108" s="694"/>
      <c r="C108" s="694"/>
      <c r="D108" s="694"/>
      <c r="E108" s="694"/>
      <c r="F108" s="694"/>
      <c r="G108" s="694"/>
      <c r="H108" s="694"/>
      <c r="I108" s="694"/>
      <c r="J108" s="694"/>
      <c r="K108" s="694"/>
      <c r="L108" s="694"/>
      <c r="R108" s="696"/>
      <c r="V108" s="694"/>
    </row>
    <row r="109" spans="1:22" s="695" customFormat="1">
      <c r="A109" s="694"/>
      <c r="B109" s="694"/>
      <c r="C109" s="694"/>
      <c r="D109" s="694"/>
      <c r="E109" s="694"/>
      <c r="F109" s="694"/>
      <c r="G109" s="694"/>
      <c r="H109" s="694"/>
      <c r="I109" s="694"/>
      <c r="J109" s="694"/>
      <c r="K109" s="694"/>
      <c r="L109" s="694"/>
      <c r="R109" s="696"/>
      <c r="V109" s="694"/>
    </row>
    <row r="110" spans="1:22" s="695" customFormat="1">
      <c r="A110" s="694"/>
      <c r="B110" s="694"/>
      <c r="C110" s="694"/>
      <c r="D110" s="694"/>
      <c r="E110" s="694"/>
      <c r="F110" s="694"/>
      <c r="G110" s="694"/>
      <c r="H110" s="694"/>
      <c r="I110" s="694"/>
      <c r="J110" s="694"/>
      <c r="K110" s="694"/>
      <c r="L110" s="694"/>
      <c r="R110" s="696"/>
      <c r="V110" s="694"/>
    </row>
    <row r="111" spans="1:22" s="695" customFormat="1">
      <c r="A111" s="694"/>
      <c r="B111" s="694"/>
      <c r="C111" s="694"/>
      <c r="D111" s="694"/>
      <c r="E111" s="694"/>
      <c r="F111" s="694"/>
      <c r="G111" s="694"/>
      <c r="H111" s="694"/>
      <c r="I111" s="694"/>
      <c r="J111" s="694"/>
      <c r="K111" s="694"/>
      <c r="L111" s="694"/>
      <c r="R111" s="696"/>
      <c r="V111" s="694"/>
    </row>
    <row r="112" spans="1:22" s="695" customFormat="1">
      <c r="A112" s="694"/>
      <c r="B112" s="694"/>
      <c r="C112" s="694"/>
      <c r="D112" s="694"/>
      <c r="E112" s="694"/>
      <c r="F112" s="694"/>
      <c r="G112" s="694"/>
      <c r="H112" s="694"/>
      <c r="I112" s="694"/>
      <c r="J112" s="694"/>
      <c r="K112" s="694"/>
      <c r="L112" s="694"/>
      <c r="R112" s="696"/>
      <c r="V112" s="694"/>
    </row>
    <row r="113" spans="1:22" s="695" customFormat="1">
      <c r="A113" s="694"/>
      <c r="B113" s="694"/>
      <c r="C113" s="694"/>
      <c r="D113" s="694"/>
      <c r="E113" s="694"/>
      <c r="F113" s="694"/>
      <c r="G113" s="694"/>
      <c r="H113" s="694"/>
      <c r="I113" s="694"/>
      <c r="J113" s="694"/>
      <c r="K113" s="694"/>
      <c r="L113" s="694"/>
      <c r="R113" s="696"/>
      <c r="V113" s="694"/>
    </row>
    <row r="114" spans="1:22" s="695" customFormat="1">
      <c r="A114" s="694"/>
      <c r="B114" s="694"/>
      <c r="C114" s="694"/>
      <c r="D114" s="694"/>
      <c r="E114" s="694"/>
      <c r="F114" s="694"/>
      <c r="G114" s="694"/>
      <c r="H114" s="694"/>
      <c r="I114" s="694"/>
      <c r="J114" s="694"/>
      <c r="K114" s="694"/>
      <c r="L114" s="694"/>
      <c r="R114" s="696"/>
      <c r="V114" s="694"/>
    </row>
    <row r="115" spans="1:22" s="695" customFormat="1">
      <c r="A115" s="694"/>
      <c r="B115" s="694"/>
      <c r="C115" s="694"/>
      <c r="D115" s="694"/>
      <c r="E115" s="694"/>
      <c r="F115" s="694"/>
      <c r="G115" s="694"/>
      <c r="H115" s="694"/>
      <c r="I115" s="694"/>
      <c r="J115" s="694"/>
      <c r="K115" s="694"/>
      <c r="L115" s="694"/>
      <c r="R115" s="696"/>
      <c r="V115" s="694"/>
    </row>
    <row r="116" spans="1:22" s="695" customFormat="1">
      <c r="A116" s="694"/>
      <c r="B116" s="694"/>
      <c r="C116" s="694"/>
      <c r="D116" s="694"/>
      <c r="E116" s="694"/>
      <c r="F116" s="694"/>
      <c r="G116" s="694"/>
      <c r="H116" s="694"/>
      <c r="I116" s="694"/>
      <c r="J116" s="694"/>
      <c r="K116" s="694"/>
      <c r="L116" s="694"/>
      <c r="R116" s="696"/>
      <c r="V116" s="694"/>
    </row>
    <row r="117" spans="1:22" s="695" customFormat="1">
      <c r="A117" s="694"/>
      <c r="B117" s="694"/>
      <c r="C117" s="694"/>
      <c r="D117" s="694"/>
      <c r="E117" s="694"/>
      <c r="F117" s="694"/>
      <c r="G117" s="694"/>
      <c r="H117" s="694"/>
      <c r="I117" s="694"/>
      <c r="J117" s="694"/>
      <c r="K117" s="694"/>
      <c r="L117" s="694"/>
      <c r="R117" s="696"/>
      <c r="V117" s="694"/>
    </row>
    <row r="118" spans="1:22" s="695" customFormat="1">
      <c r="A118" s="694"/>
      <c r="B118" s="694"/>
      <c r="C118" s="694"/>
      <c r="D118" s="694"/>
      <c r="E118" s="694"/>
      <c r="F118" s="694"/>
      <c r="G118" s="694"/>
      <c r="H118" s="694"/>
      <c r="I118" s="694"/>
      <c r="J118" s="694"/>
      <c r="K118" s="694"/>
      <c r="L118" s="694"/>
      <c r="R118" s="696"/>
      <c r="V118" s="694"/>
    </row>
    <row r="119" spans="1:22" s="695" customFormat="1">
      <c r="A119" s="694"/>
      <c r="B119" s="694"/>
      <c r="C119" s="694"/>
      <c r="D119" s="694"/>
      <c r="E119" s="694"/>
      <c r="F119" s="694"/>
      <c r="G119" s="694"/>
      <c r="H119" s="694"/>
      <c r="I119" s="694"/>
      <c r="J119" s="694"/>
      <c r="K119" s="694"/>
      <c r="L119" s="694"/>
      <c r="R119" s="696"/>
      <c r="V119" s="694"/>
    </row>
    <row r="120" spans="1:22" s="695" customFormat="1">
      <c r="A120" s="694"/>
      <c r="B120" s="694"/>
      <c r="C120" s="694"/>
      <c r="D120" s="694"/>
      <c r="E120" s="694"/>
      <c r="F120" s="694"/>
      <c r="G120" s="694"/>
      <c r="H120" s="694"/>
      <c r="I120" s="694"/>
      <c r="J120" s="694"/>
      <c r="K120" s="694"/>
      <c r="L120" s="694"/>
      <c r="R120" s="696"/>
      <c r="V120" s="694"/>
    </row>
    <row r="121" spans="1:22" s="695" customFormat="1">
      <c r="A121" s="694"/>
      <c r="B121" s="694"/>
      <c r="C121" s="694"/>
      <c r="D121" s="694"/>
      <c r="E121" s="694"/>
      <c r="F121" s="694"/>
      <c r="G121" s="694"/>
      <c r="H121" s="694"/>
      <c r="I121" s="694"/>
      <c r="J121" s="694"/>
      <c r="K121" s="694"/>
      <c r="L121" s="694"/>
      <c r="R121" s="696"/>
      <c r="V121" s="694"/>
    </row>
    <row r="122" spans="1:22" s="695" customFormat="1">
      <c r="A122" s="694"/>
      <c r="B122" s="694"/>
      <c r="C122" s="694"/>
      <c r="D122" s="694"/>
      <c r="E122" s="694"/>
      <c r="F122" s="694"/>
      <c r="G122" s="694"/>
      <c r="H122" s="694"/>
      <c r="I122" s="694"/>
      <c r="J122" s="694"/>
      <c r="K122" s="694"/>
      <c r="L122" s="694"/>
      <c r="R122" s="696"/>
      <c r="V122" s="694"/>
    </row>
    <row r="123" spans="1:22" s="695" customFormat="1">
      <c r="A123" s="694"/>
      <c r="B123" s="694"/>
      <c r="C123" s="694"/>
      <c r="D123" s="694"/>
      <c r="E123" s="694"/>
      <c r="F123" s="694"/>
      <c r="G123" s="694"/>
      <c r="H123" s="694"/>
      <c r="I123" s="694"/>
      <c r="J123" s="694"/>
      <c r="K123" s="694"/>
      <c r="L123" s="694"/>
      <c r="R123" s="696"/>
      <c r="V123" s="694"/>
    </row>
    <row r="124" spans="1:22" s="695" customFormat="1">
      <c r="A124" s="694"/>
      <c r="B124" s="694"/>
      <c r="C124" s="694"/>
      <c r="D124" s="694"/>
      <c r="E124" s="694"/>
      <c r="F124" s="694"/>
      <c r="G124" s="694"/>
      <c r="H124" s="694"/>
      <c r="I124" s="694"/>
      <c r="J124" s="694"/>
      <c r="K124" s="694"/>
      <c r="L124" s="694"/>
      <c r="R124" s="696"/>
      <c r="V124" s="694"/>
    </row>
    <row r="125" spans="1:22" s="695" customFormat="1">
      <c r="A125" s="694"/>
      <c r="B125" s="694"/>
      <c r="C125" s="694"/>
      <c r="D125" s="694"/>
      <c r="E125" s="694"/>
      <c r="F125" s="694"/>
      <c r="G125" s="694"/>
      <c r="H125" s="694"/>
      <c r="I125" s="694"/>
      <c r="J125" s="694"/>
      <c r="K125" s="694"/>
      <c r="L125" s="694"/>
      <c r="R125" s="696"/>
      <c r="V125" s="694"/>
    </row>
    <row r="126" spans="1:22" s="695" customFormat="1">
      <c r="A126" s="694"/>
      <c r="B126" s="694"/>
      <c r="C126" s="694"/>
      <c r="D126" s="694"/>
      <c r="E126" s="694"/>
      <c r="F126" s="694"/>
      <c r="G126" s="694"/>
      <c r="H126" s="694"/>
      <c r="I126" s="694"/>
      <c r="J126" s="694"/>
      <c r="K126" s="694"/>
      <c r="L126" s="694"/>
      <c r="R126" s="696"/>
      <c r="V126" s="694"/>
    </row>
    <row r="127" spans="1:22" s="695" customFormat="1">
      <c r="A127" s="694"/>
      <c r="B127" s="694"/>
      <c r="C127" s="694"/>
      <c r="D127" s="694"/>
      <c r="E127" s="694"/>
      <c r="F127" s="694"/>
      <c r="G127" s="694"/>
      <c r="H127" s="694"/>
      <c r="I127" s="694"/>
      <c r="J127" s="694"/>
      <c r="K127" s="694"/>
      <c r="L127" s="694"/>
      <c r="R127" s="696"/>
      <c r="V127" s="694"/>
    </row>
    <row r="128" spans="1:22" s="695" customFormat="1">
      <c r="A128" s="694"/>
      <c r="B128" s="694"/>
      <c r="C128" s="694"/>
      <c r="D128" s="694"/>
      <c r="E128" s="694"/>
      <c r="F128" s="694"/>
      <c r="G128" s="694"/>
      <c r="H128" s="694"/>
      <c r="I128" s="694"/>
      <c r="J128" s="694"/>
      <c r="K128" s="694"/>
      <c r="L128" s="694"/>
      <c r="R128" s="696"/>
      <c r="V128" s="694"/>
    </row>
    <row r="129" spans="1:22" s="695" customFormat="1">
      <c r="A129" s="694"/>
      <c r="B129" s="694"/>
      <c r="C129" s="694"/>
      <c r="D129" s="694"/>
      <c r="E129" s="694"/>
      <c r="F129" s="694"/>
      <c r="G129" s="694"/>
      <c r="H129" s="694"/>
      <c r="I129" s="694"/>
      <c r="J129" s="694"/>
      <c r="K129" s="694"/>
      <c r="L129" s="694"/>
      <c r="R129" s="696"/>
      <c r="V129" s="694"/>
    </row>
    <row r="130" spans="1:22" s="695" customFormat="1">
      <c r="A130" s="694"/>
      <c r="B130" s="694"/>
      <c r="C130" s="694"/>
      <c r="D130" s="694"/>
      <c r="E130" s="694"/>
      <c r="F130" s="694"/>
      <c r="G130" s="694"/>
      <c r="H130" s="694"/>
      <c r="I130" s="694"/>
      <c r="J130" s="694"/>
      <c r="K130" s="694"/>
      <c r="L130" s="694"/>
      <c r="R130" s="696"/>
      <c r="V130" s="694"/>
    </row>
    <row r="131" spans="1:22" s="695" customFormat="1">
      <c r="A131" s="694"/>
      <c r="B131" s="694"/>
      <c r="C131" s="694"/>
      <c r="D131" s="694"/>
      <c r="E131" s="694"/>
      <c r="F131" s="694"/>
      <c r="G131" s="694"/>
      <c r="H131" s="694"/>
      <c r="I131" s="694"/>
      <c r="J131" s="694"/>
      <c r="K131" s="694"/>
      <c r="L131" s="694"/>
      <c r="R131" s="696"/>
      <c r="V131" s="694"/>
    </row>
    <row r="132" spans="1:22" s="695" customFormat="1">
      <c r="A132" s="694"/>
      <c r="B132" s="694"/>
      <c r="C132" s="694"/>
      <c r="D132" s="694"/>
      <c r="E132" s="694"/>
      <c r="F132" s="694"/>
      <c r="G132" s="694"/>
      <c r="H132" s="694"/>
      <c r="I132" s="694"/>
      <c r="J132" s="694"/>
      <c r="K132" s="694"/>
      <c r="L132" s="694"/>
      <c r="R132" s="696"/>
      <c r="V132" s="694"/>
    </row>
    <row r="133" spans="1:22" s="695" customFormat="1">
      <c r="A133" s="694"/>
      <c r="B133" s="694"/>
      <c r="C133" s="694"/>
      <c r="D133" s="694"/>
      <c r="E133" s="694"/>
      <c r="F133" s="694"/>
      <c r="G133" s="694"/>
      <c r="H133" s="694"/>
      <c r="I133" s="694"/>
      <c r="J133" s="694"/>
      <c r="K133" s="694"/>
      <c r="L133" s="694"/>
      <c r="R133" s="696"/>
      <c r="V133" s="694"/>
    </row>
    <row r="134" spans="1:22" s="695" customFormat="1">
      <c r="A134" s="694"/>
      <c r="B134" s="694"/>
      <c r="C134" s="694"/>
      <c r="D134" s="694"/>
      <c r="E134" s="694"/>
      <c r="F134" s="694"/>
      <c r="G134" s="694"/>
      <c r="H134" s="694"/>
      <c r="I134" s="694"/>
      <c r="J134" s="694"/>
      <c r="K134" s="694"/>
      <c r="L134" s="694"/>
      <c r="R134" s="696"/>
      <c r="V134" s="694"/>
    </row>
    <row r="135" spans="1:22" s="695" customFormat="1">
      <c r="A135" s="694"/>
      <c r="B135" s="694"/>
      <c r="C135" s="694"/>
      <c r="D135" s="694"/>
      <c r="E135" s="694"/>
      <c r="F135" s="694"/>
      <c r="G135" s="694"/>
      <c r="H135" s="694"/>
      <c r="I135" s="694"/>
      <c r="J135" s="694"/>
      <c r="K135" s="694"/>
      <c r="L135" s="694"/>
      <c r="R135" s="696"/>
      <c r="V135" s="694"/>
    </row>
    <row r="136" spans="1:22" s="695" customFormat="1">
      <c r="A136" s="694"/>
      <c r="B136" s="694"/>
      <c r="C136" s="694"/>
      <c r="D136" s="694"/>
      <c r="E136" s="694"/>
      <c r="F136" s="694"/>
      <c r="G136" s="694"/>
      <c r="H136" s="694"/>
      <c r="I136" s="694"/>
      <c r="J136" s="694"/>
      <c r="K136" s="694"/>
      <c r="L136" s="694"/>
      <c r="R136" s="696"/>
      <c r="V136" s="694"/>
    </row>
    <row r="137" spans="1:22" s="695" customFormat="1">
      <c r="A137" s="694"/>
      <c r="B137" s="694"/>
      <c r="C137" s="694"/>
      <c r="D137" s="694"/>
      <c r="E137" s="694"/>
      <c r="F137" s="694"/>
      <c r="G137" s="694"/>
      <c r="H137" s="694"/>
      <c r="I137" s="694"/>
      <c r="J137" s="694"/>
      <c r="K137" s="694"/>
      <c r="L137" s="694"/>
      <c r="R137" s="696"/>
      <c r="V137" s="694"/>
    </row>
    <row r="138" spans="1:22" s="695" customFormat="1">
      <c r="A138" s="694"/>
      <c r="B138" s="694"/>
      <c r="C138" s="694"/>
      <c r="D138" s="694"/>
      <c r="E138" s="694"/>
      <c r="F138" s="694"/>
      <c r="G138" s="694"/>
      <c r="H138" s="694"/>
      <c r="I138" s="694"/>
      <c r="J138" s="694"/>
      <c r="K138" s="694"/>
      <c r="L138" s="694"/>
      <c r="R138" s="696"/>
      <c r="V138" s="694"/>
    </row>
    <row r="139" spans="1:22" s="695" customFormat="1">
      <c r="A139" s="694"/>
      <c r="B139" s="694"/>
      <c r="C139" s="694"/>
      <c r="D139" s="694"/>
      <c r="E139" s="694"/>
      <c r="F139" s="694"/>
      <c r="G139" s="694"/>
      <c r="H139" s="694"/>
      <c r="I139" s="694"/>
      <c r="J139" s="694"/>
      <c r="K139" s="694"/>
      <c r="L139" s="694"/>
      <c r="R139" s="696"/>
      <c r="V139" s="694"/>
    </row>
    <row r="140" spans="1:22" s="695" customFormat="1">
      <c r="A140" s="694"/>
      <c r="B140" s="694"/>
      <c r="C140" s="694"/>
      <c r="D140" s="694"/>
      <c r="E140" s="694"/>
      <c r="F140" s="694"/>
      <c r="G140" s="694"/>
      <c r="H140" s="694"/>
      <c r="I140" s="694"/>
      <c r="J140" s="694"/>
      <c r="K140" s="694"/>
      <c r="L140" s="694"/>
      <c r="R140" s="696"/>
      <c r="V140" s="694"/>
    </row>
    <row r="141" spans="1:22" s="695" customFormat="1">
      <c r="A141" s="694"/>
      <c r="B141" s="694"/>
      <c r="C141" s="694"/>
      <c r="D141" s="694"/>
      <c r="E141" s="694"/>
      <c r="F141" s="694"/>
      <c r="G141" s="694"/>
      <c r="H141" s="694"/>
      <c r="I141" s="694"/>
      <c r="J141" s="694"/>
      <c r="K141" s="694"/>
      <c r="L141" s="694"/>
      <c r="R141" s="696"/>
      <c r="V141" s="694"/>
    </row>
    <row r="142" spans="1:22" s="695" customFormat="1">
      <c r="A142" s="694"/>
      <c r="B142" s="694"/>
      <c r="C142" s="694"/>
      <c r="D142" s="694"/>
      <c r="E142" s="694"/>
      <c r="F142" s="694"/>
      <c r="G142" s="694"/>
      <c r="H142" s="694"/>
      <c r="I142" s="694"/>
      <c r="J142" s="694"/>
      <c r="K142" s="694"/>
      <c r="L142" s="694"/>
      <c r="R142" s="696"/>
      <c r="V142" s="694"/>
    </row>
    <row r="143" spans="1:22" s="695" customFormat="1">
      <c r="A143" s="694"/>
      <c r="B143" s="694"/>
      <c r="C143" s="694"/>
      <c r="D143" s="694"/>
      <c r="E143" s="694"/>
      <c r="F143" s="694"/>
      <c r="G143" s="694"/>
      <c r="H143" s="694"/>
      <c r="I143" s="694"/>
      <c r="J143" s="694"/>
      <c r="K143" s="694"/>
      <c r="L143" s="694"/>
      <c r="R143" s="696"/>
      <c r="V143" s="694"/>
    </row>
    <row r="144" spans="1:22" s="695" customFormat="1">
      <c r="A144" s="694"/>
      <c r="B144" s="694"/>
      <c r="C144" s="694"/>
      <c r="D144" s="694"/>
      <c r="E144" s="694"/>
      <c r="F144" s="694"/>
      <c r="G144" s="694"/>
      <c r="H144" s="694"/>
      <c r="I144" s="694"/>
      <c r="J144" s="694"/>
      <c r="K144" s="694"/>
      <c r="L144" s="694"/>
      <c r="R144" s="696"/>
      <c r="V144" s="694"/>
    </row>
    <row r="145" spans="1:22" s="695" customFormat="1">
      <c r="A145" s="694"/>
      <c r="B145" s="694"/>
      <c r="C145" s="694"/>
      <c r="D145" s="694"/>
      <c r="E145" s="694"/>
      <c r="F145" s="694"/>
      <c r="G145" s="694"/>
      <c r="H145" s="694"/>
      <c r="I145" s="694"/>
      <c r="J145" s="694"/>
      <c r="K145" s="694"/>
      <c r="L145" s="694"/>
      <c r="R145" s="696"/>
      <c r="V145" s="694"/>
    </row>
    <row r="146" spans="1:22" s="695" customFormat="1">
      <c r="A146" s="694"/>
      <c r="B146" s="694"/>
      <c r="C146" s="694"/>
      <c r="D146" s="694"/>
      <c r="E146" s="694"/>
      <c r="F146" s="694"/>
      <c r="G146" s="694"/>
      <c r="H146" s="694"/>
      <c r="I146" s="694"/>
      <c r="J146" s="694"/>
      <c r="K146" s="694"/>
      <c r="L146" s="694"/>
      <c r="R146" s="696"/>
      <c r="V146" s="694"/>
    </row>
    <row r="147" spans="1:22" s="695" customFormat="1">
      <c r="A147" s="694"/>
      <c r="B147" s="694"/>
      <c r="C147" s="694"/>
      <c r="D147" s="694"/>
      <c r="E147" s="694"/>
      <c r="F147" s="694"/>
      <c r="G147" s="694"/>
      <c r="H147" s="694"/>
      <c r="I147" s="694"/>
      <c r="J147" s="694"/>
      <c r="K147" s="694"/>
      <c r="L147" s="694"/>
      <c r="R147" s="696"/>
      <c r="V147" s="694"/>
    </row>
    <row r="148" spans="1:22" s="695" customFormat="1">
      <c r="A148" s="694"/>
      <c r="B148" s="694"/>
      <c r="C148" s="694"/>
      <c r="D148" s="694"/>
      <c r="E148" s="694"/>
      <c r="F148" s="694"/>
      <c r="G148" s="694"/>
      <c r="H148" s="694"/>
      <c r="I148" s="694"/>
      <c r="J148" s="694"/>
      <c r="K148" s="694"/>
      <c r="L148" s="694"/>
      <c r="R148" s="696"/>
      <c r="V148" s="694"/>
    </row>
    <row r="149" spans="1:22" s="695" customFormat="1">
      <c r="A149" s="694"/>
      <c r="B149" s="694"/>
      <c r="C149" s="694"/>
      <c r="D149" s="694"/>
      <c r="E149" s="694"/>
      <c r="F149" s="694"/>
      <c r="G149" s="694"/>
      <c r="H149" s="694"/>
      <c r="I149" s="694"/>
      <c r="J149" s="694"/>
      <c r="K149" s="694"/>
      <c r="L149" s="694"/>
      <c r="R149" s="696"/>
      <c r="V149" s="694"/>
    </row>
    <row r="150" spans="1:22" s="695" customFormat="1">
      <c r="A150" s="694"/>
      <c r="B150" s="694"/>
      <c r="C150" s="694"/>
      <c r="D150" s="694"/>
      <c r="E150" s="694"/>
      <c r="F150" s="694"/>
      <c r="G150" s="694"/>
      <c r="H150" s="694"/>
      <c r="I150" s="694"/>
      <c r="J150" s="694"/>
      <c r="K150" s="694"/>
      <c r="L150" s="694"/>
      <c r="R150" s="696"/>
      <c r="V150" s="694"/>
    </row>
    <row r="151" spans="1:22" s="695" customFormat="1">
      <c r="A151" s="694"/>
      <c r="B151" s="694"/>
      <c r="C151" s="694"/>
      <c r="D151" s="694"/>
      <c r="E151" s="694"/>
      <c r="F151" s="694"/>
      <c r="G151" s="694"/>
      <c r="H151" s="694"/>
      <c r="I151" s="694"/>
      <c r="J151" s="694"/>
      <c r="K151" s="694"/>
      <c r="L151" s="694"/>
      <c r="R151" s="696"/>
      <c r="V151" s="694"/>
    </row>
    <row r="152" spans="1:22" s="695" customFormat="1">
      <c r="A152" s="694"/>
      <c r="B152" s="694"/>
      <c r="C152" s="694"/>
      <c r="D152" s="694"/>
      <c r="E152" s="694"/>
      <c r="F152" s="694"/>
      <c r="G152" s="694"/>
      <c r="H152" s="694"/>
      <c r="I152" s="694"/>
      <c r="J152" s="694"/>
      <c r="K152" s="694"/>
      <c r="L152" s="694"/>
      <c r="R152" s="696"/>
      <c r="V152" s="694"/>
    </row>
    <row r="153" spans="1:22" s="695" customFormat="1">
      <c r="A153" s="694"/>
      <c r="B153" s="694"/>
      <c r="C153" s="694"/>
      <c r="D153" s="694"/>
      <c r="E153" s="694"/>
      <c r="F153" s="694"/>
      <c r="G153" s="694"/>
      <c r="H153" s="694"/>
      <c r="I153" s="694"/>
      <c r="J153" s="694"/>
      <c r="K153" s="694"/>
      <c r="L153" s="694"/>
      <c r="R153" s="696"/>
      <c r="V153" s="694"/>
    </row>
    <row r="154" spans="1:22" s="695" customFormat="1">
      <c r="A154" s="694"/>
      <c r="B154" s="694"/>
      <c r="C154" s="694"/>
      <c r="D154" s="694"/>
      <c r="E154" s="694"/>
      <c r="F154" s="694"/>
      <c r="G154" s="694"/>
      <c r="H154" s="694"/>
      <c r="I154" s="694"/>
      <c r="J154" s="694"/>
      <c r="K154" s="694"/>
      <c r="L154" s="694"/>
      <c r="R154" s="696"/>
      <c r="V154" s="694"/>
    </row>
    <row r="155" spans="1:22" s="695" customFormat="1">
      <c r="A155" s="694"/>
      <c r="B155" s="694"/>
      <c r="C155" s="694"/>
      <c r="D155" s="694"/>
      <c r="E155" s="694"/>
      <c r="F155" s="694"/>
      <c r="G155" s="694"/>
      <c r="H155" s="694"/>
      <c r="I155" s="694"/>
      <c r="J155" s="694"/>
      <c r="K155" s="694"/>
      <c r="L155" s="694"/>
      <c r="R155" s="696"/>
      <c r="V155" s="694"/>
    </row>
    <row r="156" spans="1:22" s="695" customFormat="1">
      <c r="A156" s="694"/>
      <c r="B156" s="694"/>
      <c r="C156" s="694"/>
      <c r="D156" s="694"/>
      <c r="E156" s="694"/>
      <c r="F156" s="694"/>
      <c r="G156" s="694"/>
      <c r="H156" s="694"/>
      <c r="I156" s="694"/>
      <c r="J156" s="694"/>
      <c r="K156" s="694"/>
      <c r="L156" s="694"/>
      <c r="R156" s="696"/>
      <c r="V156" s="694"/>
    </row>
    <row r="157" spans="1:22" s="695" customFormat="1">
      <c r="A157" s="694"/>
      <c r="B157" s="694"/>
      <c r="C157" s="694"/>
      <c r="D157" s="694"/>
      <c r="E157" s="694"/>
      <c r="F157" s="694"/>
      <c r="G157" s="694"/>
      <c r="H157" s="694"/>
      <c r="I157" s="694"/>
      <c r="J157" s="694"/>
      <c r="K157" s="694"/>
      <c r="L157" s="694"/>
      <c r="R157" s="696"/>
      <c r="V157" s="694"/>
    </row>
    <row r="158" spans="1:22" s="695" customFormat="1">
      <c r="A158" s="694"/>
      <c r="B158" s="694"/>
      <c r="C158" s="694"/>
      <c r="D158" s="694"/>
      <c r="E158" s="694"/>
      <c r="F158" s="694"/>
      <c r="G158" s="694"/>
      <c r="H158" s="694"/>
      <c r="I158" s="694"/>
      <c r="J158" s="694"/>
      <c r="K158" s="694"/>
      <c r="L158" s="694"/>
      <c r="R158" s="696"/>
      <c r="V158" s="694"/>
    </row>
    <row r="159" spans="1:22" s="695" customFormat="1">
      <c r="A159" s="694"/>
      <c r="B159" s="694"/>
      <c r="C159" s="694"/>
      <c r="D159" s="694"/>
      <c r="E159" s="694"/>
      <c r="F159" s="694"/>
      <c r="G159" s="694"/>
      <c r="H159" s="694"/>
      <c r="I159" s="694"/>
      <c r="J159" s="694"/>
      <c r="K159" s="694"/>
      <c r="L159" s="694"/>
      <c r="R159" s="696"/>
      <c r="V159" s="694"/>
    </row>
    <row r="160" spans="1:22" s="695" customFormat="1">
      <c r="A160" s="694"/>
      <c r="B160" s="694"/>
      <c r="C160" s="694"/>
      <c r="D160" s="694"/>
      <c r="E160" s="694"/>
      <c r="F160" s="694"/>
      <c r="G160" s="694"/>
      <c r="H160" s="694"/>
      <c r="I160" s="694"/>
      <c r="J160" s="694"/>
      <c r="K160" s="694"/>
      <c r="L160" s="694"/>
      <c r="R160" s="696"/>
      <c r="V160" s="694"/>
    </row>
    <row r="161" spans="1:22" s="695" customFormat="1">
      <c r="A161" s="694"/>
      <c r="B161" s="694"/>
      <c r="C161" s="694"/>
      <c r="D161" s="694"/>
      <c r="E161" s="694"/>
      <c r="F161" s="694"/>
      <c r="G161" s="694"/>
      <c r="H161" s="694"/>
      <c r="I161" s="694"/>
      <c r="J161" s="694"/>
      <c r="K161" s="694"/>
      <c r="L161" s="694"/>
      <c r="R161" s="696"/>
      <c r="V161" s="694"/>
    </row>
    <row r="162" spans="1:22" s="695" customFormat="1">
      <c r="A162" s="694"/>
      <c r="B162" s="694"/>
      <c r="C162" s="694"/>
      <c r="D162" s="694"/>
      <c r="E162" s="694"/>
      <c r="F162" s="694"/>
      <c r="G162" s="694"/>
      <c r="H162" s="694"/>
      <c r="I162" s="694"/>
      <c r="J162" s="694"/>
      <c r="K162" s="694"/>
      <c r="L162" s="694"/>
      <c r="R162" s="696"/>
      <c r="V162" s="694"/>
    </row>
    <row r="163" spans="1:22" s="695" customFormat="1">
      <c r="A163" s="694"/>
      <c r="B163" s="694"/>
      <c r="C163" s="694"/>
      <c r="D163" s="694"/>
      <c r="E163" s="694"/>
      <c r="F163" s="694"/>
      <c r="G163" s="694"/>
      <c r="H163" s="694"/>
      <c r="I163" s="694"/>
      <c r="J163" s="694"/>
      <c r="K163" s="694"/>
      <c r="L163" s="694"/>
      <c r="R163" s="696"/>
      <c r="V163" s="694"/>
    </row>
    <row r="164" spans="1:22" s="695" customFormat="1">
      <c r="A164" s="694"/>
      <c r="B164" s="694"/>
      <c r="C164" s="694"/>
      <c r="D164" s="694"/>
      <c r="E164" s="694"/>
      <c r="F164" s="694"/>
      <c r="G164" s="694"/>
      <c r="H164" s="694"/>
      <c r="I164" s="694"/>
      <c r="J164" s="694"/>
      <c r="K164" s="694"/>
      <c r="L164" s="694"/>
      <c r="R164" s="696"/>
      <c r="V164" s="694"/>
    </row>
    <row r="165" spans="1:22" s="695" customFormat="1">
      <c r="A165" s="694"/>
      <c r="B165" s="694"/>
      <c r="C165" s="694"/>
      <c r="D165" s="694"/>
      <c r="E165" s="694"/>
      <c r="F165" s="694"/>
      <c r="G165" s="694"/>
      <c r="H165" s="694"/>
      <c r="I165" s="694"/>
      <c r="J165" s="694"/>
      <c r="K165" s="694"/>
      <c r="L165" s="694"/>
      <c r="R165" s="696"/>
      <c r="V165" s="694"/>
    </row>
    <row r="166" spans="1:22" s="695" customFormat="1">
      <c r="A166" s="694"/>
      <c r="B166" s="694"/>
      <c r="C166" s="694"/>
      <c r="D166" s="694"/>
      <c r="E166" s="694"/>
      <c r="F166" s="694"/>
      <c r="G166" s="694"/>
      <c r="H166" s="694"/>
      <c r="I166" s="694"/>
      <c r="J166" s="694"/>
      <c r="K166" s="694"/>
      <c r="L166" s="694"/>
      <c r="R166" s="696"/>
      <c r="V166" s="694"/>
    </row>
    <row r="167" spans="1:22" s="695" customFormat="1">
      <c r="A167" s="694"/>
      <c r="B167" s="694"/>
      <c r="C167" s="694"/>
      <c r="D167" s="694"/>
      <c r="E167" s="694"/>
      <c r="F167" s="694"/>
      <c r="G167" s="694"/>
      <c r="H167" s="694"/>
      <c r="I167" s="694"/>
      <c r="J167" s="694"/>
      <c r="K167" s="694"/>
      <c r="L167" s="694"/>
      <c r="R167" s="696"/>
      <c r="V167" s="694"/>
    </row>
    <row r="168" spans="1:22" s="695" customFormat="1">
      <c r="A168" s="694"/>
      <c r="B168" s="694"/>
      <c r="C168" s="694"/>
      <c r="D168" s="694"/>
      <c r="E168" s="694"/>
      <c r="F168" s="694"/>
      <c r="G168" s="694"/>
      <c r="H168" s="694"/>
      <c r="I168" s="694"/>
      <c r="J168" s="694"/>
      <c r="K168" s="694"/>
      <c r="L168" s="694"/>
      <c r="R168" s="696"/>
      <c r="V168" s="694"/>
    </row>
    <row r="169" spans="1:22" s="695" customFormat="1">
      <c r="A169" s="694"/>
      <c r="B169" s="694"/>
      <c r="C169" s="694"/>
      <c r="D169" s="694"/>
      <c r="E169" s="694"/>
      <c r="F169" s="694"/>
      <c r="G169" s="694"/>
      <c r="H169" s="694"/>
      <c r="I169" s="694"/>
      <c r="J169" s="694"/>
      <c r="K169" s="694"/>
      <c r="L169" s="694"/>
      <c r="R169" s="696"/>
      <c r="V169" s="694"/>
    </row>
    <row r="170" spans="1:22" s="695" customFormat="1">
      <c r="A170" s="694"/>
      <c r="B170" s="694"/>
      <c r="C170" s="694"/>
      <c r="D170" s="694"/>
      <c r="E170" s="694"/>
      <c r="F170" s="694"/>
      <c r="G170" s="694"/>
      <c r="H170" s="694"/>
      <c r="I170" s="694"/>
      <c r="J170" s="694"/>
      <c r="K170" s="694"/>
      <c r="L170" s="694"/>
      <c r="R170" s="696"/>
      <c r="V170" s="694"/>
    </row>
    <row r="171" spans="1:22" s="695" customFormat="1">
      <c r="A171" s="694"/>
      <c r="B171" s="694"/>
      <c r="C171" s="694"/>
      <c r="D171" s="694"/>
      <c r="E171" s="694"/>
      <c r="F171" s="694"/>
      <c r="G171" s="694"/>
      <c r="H171" s="694"/>
      <c r="I171" s="694"/>
      <c r="J171" s="694"/>
      <c r="K171" s="694"/>
      <c r="L171" s="694"/>
      <c r="R171" s="696"/>
      <c r="V171" s="694"/>
    </row>
    <row r="172" spans="1:22" s="695" customFormat="1">
      <c r="A172" s="694"/>
      <c r="B172" s="694"/>
      <c r="C172" s="694"/>
      <c r="D172" s="694"/>
      <c r="E172" s="694"/>
      <c r="F172" s="694"/>
      <c r="G172" s="694"/>
      <c r="H172" s="694"/>
      <c r="I172" s="694"/>
      <c r="J172" s="694"/>
      <c r="K172" s="694"/>
      <c r="L172" s="694"/>
      <c r="R172" s="696"/>
      <c r="V172" s="694"/>
    </row>
    <row r="173" spans="1:22" s="695" customFormat="1">
      <c r="A173" s="694"/>
      <c r="B173" s="694"/>
      <c r="C173" s="694"/>
      <c r="D173" s="694"/>
      <c r="E173" s="694"/>
      <c r="F173" s="694"/>
      <c r="G173" s="694"/>
      <c r="H173" s="694"/>
      <c r="I173" s="694"/>
      <c r="J173" s="694"/>
      <c r="K173" s="694"/>
      <c r="L173" s="694"/>
      <c r="R173" s="696"/>
      <c r="V173" s="694"/>
    </row>
    <row r="174" spans="1:22" s="695" customFormat="1">
      <c r="A174" s="694"/>
      <c r="B174" s="694"/>
      <c r="C174" s="694"/>
      <c r="D174" s="694"/>
      <c r="E174" s="694"/>
      <c r="F174" s="694"/>
      <c r="G174" s="694"/>
      <c r="H174" s="694"/>
      <c r="I174" s="694"/>
      <c r="J174" s="694"/>
      <c r="K174" s="694"/>
      <c r="L174" s="694"/>
      <c r="R174" s="696"/>
      <c r="V174" s="694"/>
    </row>
    <row r="175" spans="1:22" s="695" customFormat="1">
      <c r="A175" s="694"/>
      <c r="B175" s="694"/>
      <c r="C175" s="694"/>
      <c r="D175" s="694"/>
      <c r="E175" s="694"/>
      <c r="F175" s="694"/>
      <c r="G175" s="694"/>
      <c r="H175" s="694"/>
      <c r="I175" s="694"/>
      <c r="J175" s="694"/>
      <c r="K175" s="694"/>
      <c r="L175" s="694"/>
      <c r="R175" s="696"/>
      <c r="V175" s="694"/>
    </row>
    <row r="176" spans="1:22" s="695" customFormat="1">
      <c r="A176" s="694"/>
      <c r="B176" s="694"/>
      <c r="C176" s="694"/>
      <c r="D176" s="694"/>
      <c r="E176" s="694"/>
      <c r="F176" s="694"/>
      <c r="G176" s="694"/>
      <c r="H176" s="694"/>
      <c r="I176" s="694"/>
      <c r="J176" s="694"/>
      <c r="K176" s="694"/>
      <c r="L176" s="694"/>
      <c r="R176" s="696"/>
      <c r="V176" s="694"/>
    </row>
    <row r="177" spans="1:22" s="695" customFormat="1">
      <c r="A177" s="694"/>
      <c r="B177" s="694"/>
      <c r="C177" s="694"/>
      <c r="D177" s="694"/>
      <c r="E177" s="694"/>
      <c r="F177" s="694"/>
      <c r="G177" s="694"/>
      <c r="H177" s="694"/>
      <c r="I177" s="694"/>
      <c r="J177" s="694"/>
      <c r="K177" s="694"/>
      <c r="L177" s="694"/>
      <c r="R177" s="696"/>
      <c r="V177" s="694"/>
    </row>
    <row r="178" spans="1:22" s="695" customFormat="1">
      <c r="A178" s="694"/>
      <c r="B178" s="694"/>
      <c r="C178" s="694"/>
      <c r="D178" s="694"/>
      <c r="E178" s="694"/>
      <c r="F178" s="694"/>
      <c r="G178" s="694"/>
      <c r="H178" s="694"/>
      <c r="I178" s="694"/>
      <c r="J178" s="694"/>
      <c r="K178" s="694"/>
      <c r="L178" s="694"/>
      <c r="R178" s="696"/>
      <c r="V178" s="694"/>
    </row>
    <row r="179" spans="1:22" s="695" customFormat="1">
      <c r="A179" s="694"/>
      <c r="B179" s="694"/>
      <c r="C179" s="694"/>
      <c r="D179" s="694"/>
      <c r="E179" s="694"/>
      <c r="F179" s="694"/>
      <c r="G179" s="694"/>
      <c r="H179" s="694"/>
      <c r="I179" s="694"/>
      <c r="J179" s="694"/>
      <c r="K179" s="694"/>
      <c r="L179" s="694"/>
      <c r="R179" s="696"/>
      <c r="V179" s="694"/>
    </row>
    <row r="180" spans="1:22" s="695" customFormat="1">
      <c r="A180" s="694"/>
      <c r="B180" s="694"/>
      <c r="C180" s="694"/>
      <c r="D180" s="694"/>
      <c r="E180" s="694"/>
      <c r="F180" s="694"/>
      <c r="G180" s="694"/>
      <c r="H180" s="694"/>
      <c r="I180" s="694"/>
      <c r="J180" s="694"/>
      <c r="K180" s="694"/>
      <c r="L180" s="694"/>
      <c r="R180" s="696"/>
      <c r="V180" s="694"/>
    </row>
    <row r="181" spans="1:22" s="695" customFormat="1">
      <c r="A181" s="694"/>
      <c r="B181" s="694"/>
      <c r="C181" s="694"/>
      <c r="D181" s="694"/>
      <c r="E181" s="694"/>
      <c r="F181" s="694"/>
      <c r="G181" s="694"/>
      <c r="H181" s="694"/>
      <c r="I181" s="694"/>
      <c r="J181" s="694"/>
      <c r="K181" s="694"/>
      <c r="L181" s="694"/>
      <c r="R181" s="696"/>
      <c r="V181" s="694"/>
    </row>
    <row r="182" spans="1:22" s="695" customFormat="1">
      <c r="A182" s="694"/>
      <c r="B182" s="694"/>
      <c r="C182" s="694"/>
      <c r="D182" s="694"/>
      <c r="E182" s="694"/>
      <c r="F182" s="694"/>
      <c r="G182" s="694"/>
      <c r="H182" s="694"/>
      <c r="I182" s="694"/>
      <c r="J182" s="694"/>
      <c r="K182" s="694"/>
      <c r="L182" s="694"/>
      <c r="R182" s="696"/>
      <c r="V182" s="694"/>
    </row>
    <row r="183" spans="1:22" s="695" customFormat="1">
      <c r="A183" s="694"/>
      <c r="B183" s="694"/>
      <c r="C183" s="694"/>
      <c r="D183" s="694"/>
      <c r="E183" s="694"/>
      <c r="F183" s="694"/>
      <c r="G183" s="694"/>
      <c r="H183" s="694"/>
      <c r="I183" s="694"/>
      <c r="J183" s="694"/>
      <c r="K183" s="694"/>
      <c r="L183" s="694"/>
      <c r="R183" s="696"/>
      <c r="V183" s="694"/>
    </row>
    <row r="184" spans="1:22" s="695" customFormat="1">
      <c r="A184" s="694"/>
      <c r="B184" s="694"/>
      <c r="C184" s="694"/>
      <c r="D184" s="694"/>
      <c r="E184" s="694"/>
      <c r="F184" s="694"/>
      <c r="G184" s="694"/>
      <c r="H184" s="694"/>
      <c r="I184" s="694"/>
      <c r="J184" s="694"/>
      <c r="K184" s="694"/>
      <c r="L184" s="694"/>
      <c r="R184" s="696"/>
      <c r="V184" s="694"/>
    </row>
    <row r="185" spans="1:22" s="695" customFormat="1">
      <c r="A185" s="694"/>
      <c r="B185" s="694"/>
      <c r="C185" s="694"/>
      <c r="D185" s="694"/>
      <c r="E185" s="694"/>
      <c r="F185" s="694"/>
      <c r="G185" s="694"/>
      <c r="H185" s="694"/>
      <c r="I185" s="694"/>
      <c r="J185" s="694"/>
      <c r="K185" s="694"/>
      <c r="L185" s="694"/>
      <c r="R185" s="696"/>
      <c r="V185" s="694"/>
    </row>
    <row r="186" spans="1:22" s="695" customFormat="1">
      <c r="A186" s="694"/>
      <c r="B186" s="694"/>
      <c r="C186" s="694"/>
      <c r="D186" s="694"/>
      <c r="E186" s="694"/>
      <c r="F186" s="694"/>
      <c r="G186" s="694"/>
      <c r="H186" s="694"/>
      <c r="I186" s="694"/>
      <c r="J186" s="694"/>
      <c r="K186" s="694"/>
      <c r="L186" s="694"/>
      <c r="R186" s="696"/>
      <c r="V186" s="694"/>
    </row>
    <row r="187" spans="1:22" s="695" customFormat="1">
      <c r="A187" s="694"/>
      <c r="B187" s="694"/>
      <c r="C187" s="694"/>
      <c r="D187" s="694"/>
      <c r="E187" s="694"/>
      <c r="F187" s="694"/>
      <c r="G187" s="694"/>
      <c r="H187" s="694"/>
      <c r="I187" s="694"/>
      <c r="J187" s="694"/>
      <c r="K187" s="694"/>
      <c r="L187" s="694"/>
      <c r="R187" s="696"/>
      <c r="V187" s="694"/>
    </row>
    <row r="188" spans="1:22" s="695" customFormat="1">
      <c r="A188" s="694"/>
      <c r="B188" s="694"/>
      <c r="C188" s="694"/>
      <c r="D188" s="694"/>
      <c r="E188" s="694"/>
      <c r="F188" s="694"/>
      <c r="G188" s="694"/>
      <c r="H188" s="694"/>
      <c r="I188" s="694"/>
      <c r="J188" s="694"/>
      <c r="K188" s="694"/>
      <c r="L188" s="694"/>
      <c r="R188" s="696"/>
      <c r="V188" s="694"/>
    </row>
    <row r="189" spans="1:22" s="695" customFormat="1">
      <c r="A189" s="694"/>
      <c r="B189" s="694"/>
      <c r="C189" s="694"/>
      <c r="D189" s="694"/>
      <c r="E189" s="694"/>
      <c r="F189" s="694"/>
      <c r="G189" s="694"/>
      <c r="H189" s="694"/>
      <c r="I189" s="694"/>
      <c r="J189" s="694"/>
      <c r="K189" s="694"/>
      <c r="L189" s="694"/>
      <c r="R189" s="696"/>
      <c r="V189" s="694"/>
    </row>
    <row r="190" spans="1:22" s="695" customFormat="1">
      <c r="A190" s="694"/>
      <c r="B190" s="694"/>
      <c r="C190" s="694"/>
      <c r="D190" s="694"/>
      <c r="E190" s="694"/>
      <c r="F190" s="694"/>
      <c r="G190" s="694"/>
      <c r="H190" s="694"/>
      <c r="I190" s="694"/>
      <c r="J190" s="694"/>
      <c r="K190" s="694"/>
      <c r="L190" s="694"/>
      <c r="R190" s="696"/>
      <c r="V190" s="694"/>
    </row>
    <row r="191" spans="1:22" s="695" customFormat="1">
      <c r="A191" s="694"/>
      <c r="B191" s="694"/>
      <c r="C191" s="694"/>
      <c r="D191" s="694"/>
      <c r="E191" s="694"/>
      <c r="F191" s="694"/>
      <c r="G191" s="694"/>
      <c r="H191" s="694"/>
      <c r="I191" s="694"/>
      <c r="J191" s="694"/>
      <c r="K191" s="694"/>
      <c r="L191" s="694"/>
      <c r="R191" s="696"/>
      <c r="V191" s="694"/>
    </row>
    <row r="192" spans="1:22" s="695" customFormat="1">
      <c r="A192" s="694"/>
      <c r="B192" s="694"/>
      <c r="C192" s="694"/>
      <c r="D192" s="694"/>
      <c r="E192" s="694"/>
      <c r="F192" s="694"/>
      <c r="G192" s="694"/>
      <c r="H192" s="694"/>
      <c r="I192" s="694"/>
      <c r="J192" s="694"/>
      <c r="K192" s="694"/>
      <c r="L192" s="694"/>
      <c r="R192" s="696"/>
      <c r="V192" s="694"/>
    </row>
    <row r="193" spans="1:22" s="695" customFormat="1">
      <c r="A193" s="694"/>
      <c r="B193" s="694"/>
      <c r="C193" s="694"/>
      <c r="D193" s="694"/>
      <c r="E193" s="694"/>
      <c r="F193" s="694"/>
      <c r="G193" s="694"/>
      <c r="H193" s="694"/>
      <c r="I193" s="694"/>
      <c r="J193" s="694"/>
      <c r="K193" s="694"/>
      <c r="L193" s="694"/>
      <c r="R193" s="696"/>
      <c r="V193" s="694"/>
    </row>
    <row r="194" spans="1:22" s="695" customFormat="1">
      <c r="A194" s="694"/>
      <c r="B194" s="694"/>
      <c r="C194" s="694"/>
      <c r="D194" s="694"/>
      <c r="E194" s="694"/>
      <c r="F194" s="694"/>
      <c r="G194" s="694"/>
      <c r="H194" s="694"/>
      <c r="I194" s="694"/>
      <c r="J194" s="694"/>
      <c r="K194" s="694"/>
      <c r="L194" s="694"/>
      <c r="R194" s="696"/>
      <c r="V194" s="694"/>
    </row>
    <row r="195" spans="1:22" s="695" customFormat="1">
      <c r="A195" s="694"/>
      <c r="B195" s="694"/>
      <c r="C195" s="694"/>
      <c r="D195" s="694"/>
      <c r="E195" s="694"/>
      <c r="F195" s="694"/>
      <c r="G195" s="694"/>
      <c r="H195" s="694"/>
      <c r="I195" s="694"/>
      <c r="J195" s="694"/>
      <c r="K195" s="694"/>
      <c r="L195" s="694"/>
      <c r="R195" s="696"/>
      <c r="V195" s="694"/>
    </row>
    <row r="196" spans="1:22" s="695" customFormat="1">
      <c r="A196" s="694"/>
      <c r="B196" s="694"/>
      <c r="C196" s="694"/>
      <c r="D196" s="694"/>
      <c r="E196" s="694"/>
      <c r="F196" s="694"/>
      <c r="G196" s="694"/>
      <c r="H196" s="694"/>
      <c r="I196" s="694"/>
      <c r="J196" s="694"/>
      <c r="K196" s="694"/>
      <c r="L196" s="694"/>
      <c r="R196" s="696"/>
      <c r="V196" s="694"/>
    </row>
    <row r="197" spans="1:22" s="695" customFormat="1">
      <c r="A197" s="694"/>
      <c r="B197" s="694"/>
      <c r="C197" s="694"/>
      <c r="D197" s="694"/>
      <c r="E197" s="694"/>
      <c r="F197" s="694"/>
      <c r="G197" s="694"/>
      <c r="H197" s="694"/>
      <c r="I197" s="694"/>
      <c r="J197" s="694"/>
      <c r="K197" s="694"/>
      <c r="L197" s="694"/>
      <c r="R197" s="696"/>
      <c r="V197" s="694"/>
    </row>
    <row r="198" spans="1:22" s="695" customFormat="1">
      <c r="A198" s="694"/>
      <c r="B198" s="694"/>
      <c r="C198" s="694"/>
      <c r="D198" s="694"/>
      <c r="E198" s="694"/>
      <c r="F198" s="694"/>
      <c r="G198" s="694"/>
      <c r="H198" s="694"/>
      <c r="I198" s="694"/>
      <c r="J198" s="694"/>
      <c r="K198" s="694"/>
      <c r="L198" s="694"/>
      <c r="R198" s="696"/>
      <c r="V198" s="694"/>
    </row>
    <row r="199" spans="1:22" s="695" customFormat="1">
      <c r="A199" s="694"/>
      <c r="B199" s="694"/>
      <c r="C199" s="694"/>
      <c r="D199" s="694"/>
      <c r="E199" s="694"/>
      <c r="F199" s="694"/>
      <c r="G199" s="694"/>
      <c r="H199" s="694"/>
      <c r="I199" s="694"/>
      <c r="J199" s="694"/>
      <c r="K199" s="694"/>
      <c r="L199" s="694"/>
      <c r="R199" s="696"/>
      <c r="V199" s="694"/>
    </row>
    <row r="200" spans="1:22" s="695" customFormat="1">
      <c r="A200" s="694"/>
      <c r="B200" s="694"/>
      <c r="C200" s="694"/>
      <c r="D200" s="694"/>
      <c r="E200" s="694"/>
      <c r="F200" s="694"/>
      <c r="G200" s="694"/>
      <c r="H200" s="694"/>
      <c r="I200" s="694"/>
      <c r="J200" s="694"/>
      <c r="K200" s="694"/>
      <c r="L200" s="694"/>
      <c r="R200" s="696"/>
      <c r="V200" s="694"/>
    </row>
    <row r="201" spans="1:22" s="695" customFormat="1">
      <c r="A201" s="694"/>
      <c r="B201" s="694"/>
      <c r="C201" s="694"/>
      <c r="D201" s="694"/>
      <c r="E201" s="694"/>
      <c r="F201" s="694"/>
      <c r="G201" s="694"/>
      <c r="H201" s="694"/>
      <c r="I201" s="694"/>
      <c r="J201" s="694"/>
      <c r="K201" s="694"/>
      <c r="L201" s="694"/>
      <c r="R201" s="696"/>
      <c r="V201" s="694"/>
    </row>
    <row r="202" spans="1:22" s="695" customFormat="1">
      <c r="A202" s="694"/>
      <c r="B202" s="694"/>
      <c r="C202" s="694"/>
      <c r="D202" s="694"/>
      <c r="E202" s="694"/>
      <c r="F202" s="694"/>
      <c r="G202" s="694"/>
      <c r="H202" s="694"/>
      <c r="I202" s="694"/>
      <c r="J202" s="694"/>
      <c r="K202" s="694"/>
      <c r="L202" s="694"/>
      <c r="R202" s="696"/>
      <c r="V202" s="694"/>
    </row>
    <row r="203" spans="1:22" s="695" customFormat="1">
      <c r="A203" s="694"/>
      <c r="B203" s="694"/>
      <c r="C203" s="694"/>
      <c r="D203" s="694"/>
      <c r="E203" s="694"/>
      <c r="F203" s="694"/>
      <c r="G203" s="694"/>
      <c r="H203" s="694"/>
      <c r="I203" s="694"/>
      <c r="J203" s="694"/>
      <c r="K203" s="694"/>
      <c r="L203" s="694"/>
      <c r="R203" s="696"/>
      <c r="V203" s="694"/>
    </row>
    <row r="204" spans="1:22" s="695" customFormat="1">
      <c r="A204" s="694"/>
      <c r="B204" s="694"/>
      <c r="C204" s="694"/>
      <c r="D204" s="694"/>
      <c r="E204" s="694"/>
      <c r="F204" s="694"/>
      <c r="G204" s="694"/>
      <c r="H204" s="694"/>
      <c r="I204" s="694"/>
      <c r="J204" s="694"/>
      <c r="K204" s="694"/>
      <c r="L204" s="694"/>
      <c r="R204" s="696"/>
      <c r="V204" s="694"/>
    </row>
    <row r="205" spans="1:22" s="695" customFormat="1">
      <c r="A205" s="694"/>
      <c r="B205" s="694"/>
      <c r="C205" s="694"/>
      <c r="D205" s="694"/>
      <c r="E205" s="694"/>
      <c r="F205" s="694"/>
      <c r="G205" s="694"/>
      <c r="H205" s="694"/>
      <c r="I205" s="694"/>
      <c r="J205" s="694"/>
      <c r="K205" s="694"/>
      <c r="L205" s="694"/>
      <c r="R205" s="696"/>
      <c r="V205" s="694"/>
    </row>
    <row r="206" spans="1:22" s="695" customFormat="1">
      <c r="A206" s="694"/>
      <c r="B206" s="694"/>
      <c r="C206" s="694"/>
      <c r="D206" s="694"/>
      <c r="E206" s="694"/>
      <c r="F206" s="694"/>
      <c r="G206" s="694"/>
      <c r="H206" s="694"/>
      <c r="I206" s="694"/>
      <c r="J206" s="694"/>
      <c r="K206" s="694"/>
      <c r="L206" s="694"/>
      <c r="R206" s="696"/>
      <c r="V206" s="694"/>
    </row>
    <row r="207" spans="1:22" s="695" customFormat="1">
      <c r="A207" s="694"/>
      <c r="B207" s="694"/>
      <c r="C207" s="694"/>
      <c r="D207" s="694"/>
      <c r="E207" s="694"/>
      <c r="F207" s="694"/>
      <c r="G207" s="694"/>
      <c r="H207" s="694"/>
      <c r="I207" s="694"/>
      <c r="J207" s="694"/>
      <c r="K207" s="694"/>
      <c r="L207" s="694"/>
      <c r="R207" s="696"/>
      <c r="V207" s="694"/>
    </row>
    <row r="208" spans="1:22" s="695" customFormat="1">
      <c r="A208" s="694"/>
      <c r="B208" s="694"/>
      <c r="C208" s="694"/>
      <c r="D208" s="694"/>
      <c r="E208" s="694"/>
      <c r="F208" s="694"/>
      <c r="G208" s="694"/>
      <c r="H208" s="694"/>
      <c r="I208" s="694"/>
      <c r="J208" s="694"/>
      <c r="K208" s="694"/>
      <c r="L208" s="694"/>
      <c r="R208" s="696"/>
      <c r="V208" s="694"/>
    </row>
    <row r="209" spans="1:22" s="695" customFormat="1">
      <c r="A209" s="694"/>
      <c r="B209" s="694"/>
      <c r="C209" s="694"/>
      <c r="D209" s="694"/>
      <c r="E209" s="694"/>
      <c r="F209" s="694"/>
      <c r="G209" s="694"/>
      <c r="H209" s="694"/>
      <c r="I209" s="694"/>
      <c r="J209" s="694"/>
      <c r="K209" s="694"/>
      <c r="L209" s="694"/>
      <c r="R209" s="696"/>
      <c r="V209" s="694"/>
    </row>
    <row r="210" spans="1:22" s="695" customFormat="1">
      <c r="A210" s="694"/>
      <c r="B210" s="694"/>
      <c r="C210" s="694"/>
      <c r="D210" s="694"/>
      <c r="E210" s="694"/>
      <c r="F210" s="694"/>
      <c r="G210" s="694"/>
      <c r="H210" s="694"/>
      <c r="I210" s="694"/>
      <c r="J210" s="694"/>
      <c r="K210" s="694"/>
      <c r="L210" s="694"/>
      <c r="R210" s="696"/>
      <c r="V210" s="694"/>
    </row>
    <row r="211" spans="1:22" s="695" customFormat="1">
      <c r="A211" s="694"/>
      <c r="B211" s="694"/>
      <c r="C211" s="694"/>
      <c r="D211" s="694"/>
      <c r="E211" s="694"/>
      <c r="F211" s="694"/>
      <c r="G211" s="694"/>
      <c r="H211" s="694"/>
      <c r="I211" s="694"/>
      <c r="J211" s="694"/>
      <c r="K211" s="694"/>
      <c r="L211" s="694"/>
      <c r="R211" s="696"/>
      <c r="V211" s="694"/>
    </row>
    <row r="212" spans="1:22" s="695" customFormat="1">
      <c r="A212" s="694"/>
      <c r="B212" s="694"/>
      <c r="C212" s="694"/>
      <c r="D212" s="694"/>
      <c r="E212" s="694"/>
      <c r="F212" s="694"/>
      <c r="G212" s="694"/>
      <c r="H212" s="694"/>
      <c r="I212" s="694"/>
      <c r="J212" s="694"/>
      <c r="K212" s="694"/>
      <c r="L212" s="694"/>
      <c r="R212" s="696"/>
      <c r="V212" s="694"/>
    </row>
    <row r="213" spans="1:22" s="695" customFormat="1">
      <c r="A213" s="694"/>
      <c r="B213" s="694"/>
      <c r="C213" s="694"/>
      <c r="D213" s="694"/>
      <c r="E213" s="694"/>
      <c r="F213" s="694"/>
      <c r="G213" s="694"/>
      <c r="H213" s="694"/>
      <c r="I213" s="694"/>
      <c r="J213" s="694"/>
      <c r="K213" s="694"/>
      <c r="L213" s="694"/>
      <c r="R213" s="696"/>
      <c r="V213" s="694"/>
    </row>
    <row r="214" spans="1:22" s="695" customFormat="1">
      <c r="A214" s="694"/>
      <c r="B214" s="694"/>
      <c r="C214" s="694"/>
      <c r="D214" s="694"/>
      <c r="E214" s="694"/>
      <c r="F214" s="694"/>
      <c r="G214" s="694"/>
      <c r="H214" s="694"/>
      <c r="I214" s="694"/>
      <c r="J214" s="694"/>
      <c r="K214" s="694"/>
      <c r="L214" s="694"/>
      <c r="R214" s="696"/>
      <c r="V214" s="694"/>
    </row>
    <row r="215" spans="1:22" s="695" customFormat="1">
      <c r="A215" s="694"/>
      <c r="B215" s="694"/>
      <c r="C215" s="694"/>
      <c r="D215" s="694"/>
      <c r="E215" s="694"/>
      <c r="F215" s="694"/>
      <c r="G215" s="694"/>
      <c r="H215" s="694"/>
      <c r="I215" s="694"/>
      <c r="J215" s="694"/>
      <c r="K215" s="694"/>
      <c r="L215" s="694"/>
      <c r="R215" s="696"/>
      <c r="V215" s="694"/>
    </row>
    <row r="216" spans="1:22" s="695" customFormat="1">
      <c r="A216" s="694"/>
      <c r="B216" s="694"/>
      <c r="C216" s="694"/>
      <c r="D216" s="694"/>
      <c r="E216" s="694"/>
      <c r="F216" s="694"/>
      <c r="G216" s="694"/>
      <c r="H216" s="694"/>
      <c r="I216" s="694"/>
      <c r="J216" s="694"/>
      <c r="K216" s="694"/>
      <c r="L216" s="694"/>
      <c r="R216" s="696"/>
      <c r="V216" s="694"/>
    </row>
    <row r="217" spans="1:22" s="695" customFormat="1">
      <c r="A217" s="694"/>
      <c r="B217" s="694"/>
      <c r="C217" s="694"/>
      <c r="D217" s="694"/>
      <c r="E217" s="694"/>
      <c r="F217" s="694"/>
      <c r="G217" s="694"/>
      <c r="H217" s="694"/>
      <c r="I217" s="694"/>
      <c r="J217" s="694"/>
      <c r="K217" s="694"/>
      <c r="L217" s="694"/>
      <c r="R217" s="696"/>
      <c r="V217" s="694"/>
    </row>
    <row r="218" spans="1:22" s="695" customFormat="1">
      <c r="A218" s="694"/>
      <c r="B218" s="694"/>
      <c r="C218" s="694"/>
      <c r="D218" s="694"/>
      <c r="E218" s="694"/>
      <c r="F218" s="694"/>
      <c r="G218" s="694"/>
      <c r="H218" s="694"/>
      <c r="I218" s="694"/>
      <c r="J218" s="694"/>
      <c r="K218" s="694"/>
      <c r="L218" s="694"/>
      <c r="R218" s="696"/>
      <c r="V218" s="694"/>
    </row>
    <row r="219" spans="1:22" s="695" customFormat="1">
      <c r="A219" s="694"/>
      <c r="B219" s="694"/>
      <c r="C219" s="694"/>
      <c r="D219" s="694"/>
      <c r="E219" s="694"/>
      <c r="F219" s="694"/>
      <c r="G219" s="694"/>
      <c r="H219" s="694"/>
      <c r="I219" s="694"/>
      <c r="J219" s="694"/>
      <c r="K219" s="694"/>
      <c r="L219" s="694"/>
      <c r="R219" s="696"/>
      <c r="V219" s="694"/>
    </row>
    <row r="220" spans="1:22" s="695" customFormat="1">
      <c r="A220" s="694"/>
      <c r="B220" s="694"/>
      <c r="C220" s="694"/>
      <c r="D220" s="694"/>
      <c r="E220" s="694"/>
      <c r="F220" s="694"/>
      <c r="G220" s="694"/>
      <c r="H220" s="694"/>
      <c r="I220" s="694"/>
      <c r="J220" s="694"/>
      <c r="K220" s="694"/>
      <c r="L220" s="694"/>
      <c r="R220" s="696"/>
      <c r="V220" s="694"/>
    </row>
    <row r="221" spans="1:22" s="695" customFormat="1">
      <c r="A221" s="694"/>
      <c r="B221" s="694"/>
      <c r="C221" s="694"/>
      <c r="D221" s="694"/>
      <c r="E221" s="694"/>
      <c r="F221" s="694"/>
      <c r="G221" s="694"/>
      <c r="H221" s="694"/>
      <c r="I221" s="694"/>
      <c r="J221" s="694"/>
      <c r="K221" s="694"/>
      <c r="L221" s="694"/>
      <c r="R221" s="696"/>
      <c r="V221" s="694"/>
    </row>
    <row r="222" spans="1:22" s="695" customFormat="1">
      <c r="A222" s="694"/>
      <c r="B222" s="694"/>
      <c r="C222" s="694"/>
      <c r="D222" s="694"/>
      <c r="E222" s="694"/>
      <c r="F222" s="694"/>
      <c r="G222" s="694"/>
      <c r="H222" s="694"/>
      <c r="I222" s="694"/>
      <c r="J222" s="694"/>
      <c r="K222" s="694"/>
      <c r="L222" s="694"/>
      <c r="R222" s="696"/>
      <c r="V222" s="694"/>
    </row>
    <row r="223" spans="1:22" s="695" customFormat="1">
      <c r="A223" s="694"/>
      <c r="B223" s="694"/>
      <c r="C223" s="694"/>
      <c r="D223" s="694"/>
      <c r="E223" s="694"/>
      <c r="F223" s="694"/>
      <c r="G223" s="694"/>
      <c r="H223" s="694"/>
      <c r="I223" s="694"/>
      <c r="J223" s="694"/>
      <c r="K223" s="694"/>
      <c r="L223" s="694"/>
      <c r="R223" s="696"/>
      <c r="V223" s="694"/>
    </row>
    <row r="224" spans="1:22" s="695" customFormat="1">
      <c r="A224" s="694"/>
      <c r="B224" s="694"/>
      <c r="C224" s="694"/>
      <c r="D224" s="694"/>
      <c r="E224" s="694"/>
      <c r="F224" s="694"/>
      <c r="G224" s="694"/>
      <c r="H224" s="694"/>
      <c r="I224" s="694"/>
      <c r="J224" s="694"/>
      <c r="K224" s="694"/>
      <c r="L224" s="694"/>
      <c r="R224" s="696"/>
      <c r="V224" s="694"/>
    </row>
    <row r="225" spans="1:22" s="695" customFormat="1">
      <c r="A225" s="694"/>
      <c r="B225" s="694"/>
      <c r="C225" s="694"/>
      <c r="D225" s="694"/>
      <c r="E225" s="694"/>
      <c r="F225" s="694"/>
      <c r="G225" s="694"/>
      <c r="H225" s="694"/>
      <c r="I225" s="694"/>
      <c r="J225" s="694"/>
      <c r="K225" s="694"/>
      <c r="L225" s="694"/>
      <c r="R225" s="696"/>
      <c r="V225" s="694"/>
    </row>
    <row r="226" spans="1:22" s="695" customFormat="1">
      <c r="A226" s="694"/>
      <c r="B226" s="694"/>
      <c r="C226" s="694"/>
      <c r="D226" s="694"/>
      <c r="E226" s="694"/>
      <c r="F226" s="694"/>
      <c r="G226" s="694"/>
      <c r="H226" s="694"/>
      <c r="I226" s="694"/>
      <c r="J226" s="694"/>
      <c r="K226" s="694"/>
      <c r="L226" s="694"/>
      <c r="R226" s="696"/>
      <c r="V226" s="694"/>
    </row>
    <row r="227" spans="1:22" s="695" customFormat="1">
      <c r="A227" s="694"/>
      <c r="B227" s="694"/>
      <c r="C227" s="694"/>
      <c r="D227" s="694"/>
      <c r="E227" s="694"/>
      <c r="F227" s="694"/>
      <c r="G227" s="694"/>
      <c r="H227" s="694"/>
      <c r="I227" s="694"/>
      <c r="J227" s="694"/>
      <c r="K227" s="694"/>
      <c r="L227" s="694"/>
      <c r="R227" s="696"/>
      <c r="V227" s="694"/>
    </row>
    <row r="228" spans="1:22" s="695" customFormat="1">
      <c r="A228" s="694"/>
      <c r="B228" s="694"/>
      <c r="C228" s="694"/>
      <c r="D228" s="694"/>
      <c r="E228" s="694"/>
      <c r="F228" s="694"/>
      <c r="G228" s="694"/>
      <c r="H228" s="694"/>
      <c r="I228" s="694"/>
      <c r="J228" s="694"/>
      <c r="K228" s="694"/>
      <c r="L228" s="694"/>
      <c r="R228" s="696"/>
      <c r="V228" s="694"/>
    </row>
    <row r="229" spans="1:22" s="695" customFormat="1">
      <c r="A229" s="694"/>
      <c r="B229" s="694"/>
      <c r="C229" s="694"/>
      <c r="D229" s="694"/>
      <c r="E229" s="694"/>
      <c r="F229" s="694"/>
      <c r="G229" s="694"/>
      <c r="H229" s="694"/>
      <c r="I229" s="694"/>
      <c r="J229" s="694"/>
      <c r="K229" s="694"/>
      <c r="L229" s="694"/>
      <c r="R229" s="696"/>
      <c r="V229" s="694"/>
    </row>
    <row r="230" spans="1:22" s="695" customFormat="1">
      <c r="A230" s="694"/>
      <c r="B230" s="694"/>
      <c r="C230" s="694"/>
      <c r="D230" s="694"/>
      <c r="E230" s="694"/>
      <c r="F230" s="694"/>
      <c r="G230" s="694"/>
      <c r="H230" s="694"/>
      <c r="I230" s="694"/>
      <c r="J230" s="694"/>
      <c r="K230" s="694"/>
      <c r="L230" s="694"/>
      <c r="R230" s="696"/>
      <c r="V230" s="694"/>
    </row>
    <row r="231" spans="1:22" s="695" customFormat="1">
      <c r="A231" s="694"/>
      <c r="B231" s="694"/>
      <c r="C231" s="694"/>
      <c r="D231" s="694"/>
      <c r="E231" s="694"/>
      <c r="F231" s="694"/>
      <c r="G231" s="694"/>
      <c r="H231" s="694"/>
      <c r="I231" s="694"/>
      <c r="J231" s="694"/>
      <c r="K231" s="694"/>
      <c r="L231" s="694"/>
      <c r="R231" s="696"/>
      <c r="V231" s="694"/>
    </row>
    <row r="232" spans="1:22" s="695" customFormat="1">
      <c r="A232" s="694"/>
      <c r="B232" s="694"/>
      <c r="C232" s="694"/>
      <c r="D232" s="694"/>
      <c r="E232" s="694"/>
      <c r="F232" s="694"/>
      <c r="G232" s="694"/>
      <c r="H232" s="694"/>
      <c r="I232" s="694"/>
      <c r="J232" s="694"/>
      <c r="K232" s="694"/>
      <c r="L232" s="694"/>
      <c r="R232" s="696"/>
      <c r="V232" s="694"/>
    </row>
    <row r="233" spans="1:22" s="695" customFormat="1">
      <c r="A233" s="694"/>
      <c r="B233" s="694"/>
      <c r="C233" s="694"/>
      <c r="D233" s="694"/>
      <c r="E233" s="694"/>
      <c r="F233" s="694"/>
      <c r="G233" s="694"/>
      <c r="H233" s="694"/>
      <c r="I233" s="694"/>
      <c r="J233" s="694"/>
      <c r="K233" s="694"/>
      <c r="L233" s="694"/>
      <c r="R233" s="696"/>
      <c r="V233" s="694"/>
    </row>
    <row r="234" spans="1:22" s="695" customFormat="1">
      <c r="A234" s="694"/>
      <c r="B234" s="694"/>
      <c r="C234" s="694"/>
      <c r="D234" s="694"/>
      <c r="E234" s="694"/>
      <c r="F234" s="694"/>
      <c r="G234" s="694"/>
      <c r="H234" s="694"/>
      <c r="I234" s="694"/>
      <c r="J234" s="694"/>
      <c r="K234" s="694"/>
      <c r="L234" s="694"/>
      <c r="R234" s="696"/>
      <c r="V234" s="694"/>
    </row>
    <row r="235" spans="1:22" s="695" customFormat="1">
      <c r="A235" s="694"/>
      <c r="B235" s="694"/>
      <c r="C235" s="694"/>
      <c r="D235" s="694"/>
      <c r="E235" s="694"/>
      <c r="F235" s="694"/>
      <c r="G235" s="694"/>
      <c r="H235" s="694"/>
      <c r="I235" s="694"/>
      <c r="J235" s="694"/>
      <c r="K235" s="694"/>
      <c r="L235" s="694"/>
      <c r="R235" s="696"/>
      <c r="V235" s="694"/>
    </row>
    <row r="236" spans="1:22" s="695" customFormat="1">
      <c r="A236" s="694"/>
      <c r="B236" s="694"/>
      <c r="C236" s="694"/>
      <c r="D236" s="694"/>
      <c r="E236" s="694"/>
      <c r="F236" s="694"/>
      <c r="G236" s="694"/>
      <c r="H236" s="694"/>
      <c r="I236" s="694"/>
      <c r="J236" s="694"/>
      <c r="K236" s="694"/>
      <c r="L236" s="694"/>
      <c r="R236" s="696"/>
      <c r="V236" s="694"/>
    </row>
    <row r="237" spans="1:22" s="695" customFormat="1">
      <c r="A237" s="694"/>
      <c r="B237" s="694"/>
      <c r="C237" s="694"/>
      <c r="D237" s="694"/>
      <c r="E237" s="694"/>
      <c r="F237" s="694"/>
      <c r="G237" s="694"/>
      <c r="H237" s="694"/>
      <c r="I237" s="694"/>
      <c r="J237" s="694"/>
      <c r="K237" s="694"/>
      <c r="L237" s="694"/>
      <c r="R237" s="696"/>
      <c r="V237" s="694"/>
    </row>
    <row r="238" spans="1:22" s="695" customFormat="1">
      <c r="A238" s="694"/>
      <c r="B238" s="694"/>
      <c r="C238" s="694"/>
      <c r="D238" s="694"/>
      <c r="E238" s="694"/>
      <c r="F238" s="694"/>
      <c r="G238" s="694"/>
      <c r="H238" s="694"/>
      <c r="I238" s="694"/>
      <c r="J238" s="694"/>
      <c r="K238" s="694"/>
      <c r="L238" s="694"/>
      <c r="R238" s="696"/>
      <c r="V238" s="694"/>
    </row>
    <row r="239" spans="1:22" s="695" customFormat="1">
      <c r="A239" s="694"/>
      <c r="B239" s="694"/>
      <c r="C239" s="694"/>
      <c r="D239" s="694"/>
      <c r="E239" s="694"/>
      <c r="F239" s="694"/>
      <c r="G239" s="694"/>
      <c r="H239" s="694"/>
      <c r="I239" s="694"/>
      <c r="J239" s="694"/>
      <c r="K239" s="694"/>
      <c r="L239" s="694"/>
      <c r="R239" s="696"/>
      <c r="V239" s="694"/>
    </row>
    <row r="240" spans="1:22" s="695" customFormat="1">
      <c r="A240" s="694"/>
      <c r="B240" s="694"/>
      <c r="C240" s="694"/>
      <c r="D240" s="694"/>
      <c r="E240" s="694"/>
      <c r="F240" s="694"/>
      <c r="G240" s="694"/>
      <c r="H240" s="694"/>
      <c r="I240" s="694"/>
      <c r="J240" s="694"/>
      <c r="K240" s="694"/>
      <c r="L240" s="694"/>
      <c r="R240" s="696"/>
      <c r="V240" s="694"/>
    </row>
    <row r="241" spans="1:22" s="695" customFormat="1">
      <c r="A241" s="694"/>
      <c r="B241" s="694"/>
      <c r="C241" s="694"/>
      <c r="D241" s="694"/>
      <c r="E241" s="694"/>
      <c r="F241" s="694"/>
      <c r="G241" s="694"/>
      <c r="H241" s="694"/>
      <c r="I241" s="694"/>
      <c r="J241" s="694"/>
      <c r="K241" s="694"/>
      <c r="L241" s="694"/>
      <c r="R241" s="696"/>
      <c r="V241" s="694"/>
    </row>
    <row r="242" spans="1:22" s="695" customFormat="1">
      <c r="A242" s="694"/>
      <c r="B242" s="694"/>
      <c r="C242" s="694"/>
      <c r="D242" s="694"/>
      <c r="E242" s="694"/>
      <c r="F242" s="694"/>
      <c r="G242" s="694"/>
      <c r="H242" s="694"/>
      <c r="I242" s="694"/>
      <c r="J242" s="694"/>
      <c r="K242" s="694"/>
      <c r="L242" s="694"/>
      <c r="R242" s="696"/>
      <c r="V242" s="694"/>
    </row>
    <row r="243" spans="1:22" s="695" customFormat="1">
      <c r="A243" s="694"/>
      <c r="B243" s="694"/>
      <c r="C243" s="694"/>
      <c r="D243" s="694"/>
      <c r="E243" s="694"/>
      <c r="F243" s="694"/>
      <c r="G243" s="694"/>
      <c r="H243" s="694"/>
      <c r="I243" s="694"/>
      <c r="J243" s="694"/>
      <c r="K243" s="694"/>
      <c r="L243" s="694"/>
      <c r="R243" s="696"/>
      <c r="V243" s="694"/>
    </row>
    <row r="244" spans="1:22" s="695" customFormat="1">
      <c r="A244" s="694"/>
      <c r="B244" s="694"/>
      <c r="C244" s="694"/>
      <c r="D244" s="694"/>
      <c r="E244" s="694"/>
      <c r="F244" s="694"/>
      <c r="G244" s="694"/>
      <c r="H244" s="694"/>
      <c r="I244" s="694"/>
      <c r="J244" s="694"/>
      <c r="K244" s="694"/>
      <c r="L244" s="694"/>
      <c r="R244" s="696"/>
      <c r="V244" s="694"/>
    </row>
    <row r="245" spans="1:22" s="695" customFormat="1">
      <c r="A245" s="694"/>
      <c r="B245" s="694"/>
      <c r="C245" s="694"/>
      <c r="D245" s="694"/>
      <c r="E245" s="694"/>
      <c r="F245" s="694"/>
      <c r="G245" s="694"/>
      <c r="H245" s="694"/>
      <c r="I245" s="694"/>
      <c r="J245" s="694"/>
      <c r="K245" s="694"/>
      <c r="L245" s="694"/>
      <c r="R245" s="696"/>
      <c r="V245" s="694"/>
    </row>
    <row r="246" spans="1:22" s="695" customFormat="1">
      <c r="A246" s="694"/>
      <c r="B246" s="694"/>
      <c r="C246" s="694"/>
      <c r="D246" s="694"/>
      <c r="E246" s="694"/>
      <c r="F246" s="694"/>
      <c r="G246" s="694"/>
      <c r="H246" s="694"/>
      <c r="I246" s="694"/>
      <c r="J246" s="694"/>
      <c r="K246" s="694"/>
      <c r="L246" s="694"/>
      <c r="R246" s="696"/>
      <c r="V246" s="694"/>
    </row>
    <row r="247" spans="1:22" s="695" customFormat="1">
      <c r="A247" s="694"/>
      <c r="B247" s="694"/>
      <c r="C247" s="694"/>
      <c r="D247" s="694"/>
      <c r="E247" s="694"/>
      <c r="F247" s="694"/>
      <c r="G247" s="694"/>
      <c r="H247" s="694"/>
      <c r="I247" s="694"/>
      <c r="J247" s="694"/>
      <c r="K247" s="694"/>
      <c r="L247" s="694"/>
      <c r="R247" s="696"/>
      <c r="V247" s="694"/>
    </row>
    <row r="248" spans="1:22" s="695" customFormat="1">
      <c r="A248" s="694"/>
      <c r="B248" s="694"/>
      <c r="C248" s="694"/>
      <c r="D248" s="694"/>
      <c r="E248" s="694"/>
      <c r="F248" s="694"/>
      <c r="G248" s="694"/>
      <c r="H248" s="694"/>
      <c r="I248" s="694"/>
      <c r="J248" s="694"/>
      <c r="K248" s="694"/>
      <c r="L248" s="694"/>
      <c r="R248" s="696"/>
      <c r="V248" s="694"/>
    </row>
    <row r="249" spans="1:22" s="695" customFormat="1">
      <c r="A249" s="694"/>
      <c r="B249" s="694"/>
      <c r="C249" s="694"/>
      <c r="D249" s="694"/>
      <c r="E249" s="694"/>
      <c r="F249" s="694"/>
      <c r="G249" s="694"/>
      <c r="H249" s="694"/>
      <c r="I249" s="694"/>
      <c r="J249" s="694"/>
      <c r="K249" s="694"/>
      <c r="L249" s="694"/>
      <c r="R249" s="696"/>
      <c r="V249" s="694"/>
    </row>
    <row r="250" spans="1:22" s="695" customFormat="1">
      <c r="A250" s="694"/>
      <c r="B250" s="694"/>
      <c r="C250" s="694"/>
      <c r="D250" s="694"/>
      <c r="E250" s="694"/>
      <c r="F250" s="694"/>
      <c r="G250" s="694"/>
      <c r="H250" s="694"/>
      <c r="I250" s="694"/>
      <c r="J250" s="694"/>
      <c r="K250" s="694"/>
      <c r="L250" s="694"/>
      <c r="R250" s="696"/>
      <c r="V250" s="694"/>
    </row>
    <row r="251" spans="1:22" s="695" customFormat="1">
      <c r="A251" s="694"/>
      <c r="B251" s="694"/>
      <c r="C251" s="694"/>
      <c r="D251" s="694"/>
      <c r="E251" s="694"/>
      <c r="F251" s="694"/>
      <c r="G251" s="694"/>
      <c r="H251" s="694"/>
      <c r="I251" s="694"/>
      <c r="J251" s="694"/>
      <c r="K251" s="694"/>
      <c r="L251" s="694"/>
      <c r="R251" s="696"/>
      <c r="V251" s="694"/>
    </row>
    <row r="252" spans="1:22" s="695" customFormat="1">
      <c r="A252" s="694"/>
      <c r="B252" s="694"/>
      <c r="C252" s="694"/>
      <c r="D252" s="694"/>
      <c r="E252" s="694"/>
      <c r="F252" s="694"/>
      <c r="G252" s="694"/>
      <c r="H252" s="694"/>
      <c r="I252" s="694"/>
      <c r="J252" s="694"/>
      <c r="K252" s="694"/>
      <c r="L252" s="694"/>
      <c r="R252" s="696"/>
      <c r="V252" s="694"/>
    </row>
    <row r="253" spans="1:22" s="695" customFormat="1">
      <c r="A253" s="694"/>
      <c r="B253" s="694"/>
      <c r="C253" s="694"/>
      <c r="D253" s="694"/>
      <c r="E253" s="694"/>
      <c r="F253" s="694"/>
      <c r="G253" s="694"/>
      <c r="H253" s="694"/>
      <c r="I253" s="694"/>
      <c r="J253" s="694"/>
      <c r="K253" s="694"/>
      <c r="L253" s="694"/>
      <c r="R253" s="696"/>
      <c r="V253" s="694"/>
    </row>
    <row r="254" spans="1:22" s="695" customFormat="1">
      <c r="A254" s="694"/>
      <c r="B254" s="694"/>
      <c r="C254" s="694"/>
      <c r="D254" s="694"/>
      <c r="E254" s="694"/>
      <c r="F254" s="694"/>
      <c r="G254" s="694"/>
      <c r="H254" s="694"/>
      <c r="I254" s="694"/>
      <c r="J254" s="694"/>
      <c r="K254" s="694"/>
      <c r="L254" s="694"/>
      <c r="R254" s="696"/>
      <c r="V254" s="694"/>
    </row>
    <row r="255" spans="1:22" s="695" customFormat="1">
      <c r="A255" s="694"/>
      <c r="B255" s="694"/>
      <c r="C255" s="694"/>
      <c r="D255" s="694"/>
      <c r="E255" s="694"/>
      <c r="F255" s="694"/>
      <c r="G255" s="694"/>
      <c r="H255" s="694"/>
      <c r="I255" s="694"/>
      <c r="J255" s="694"/>
      <c r="K255" s="694"/>
      <c r="L255" s="694"/>
      <c r="R255" s="696"/>
      <c r="V255" s="694"/>
    </row>
    <row r="256" spans="1:22" s="695" customFormat="1">
      <c r="A256" s="694"/>
      <c r="B256" s="694"/>
      <c r="C256" s="694"/>
      <c r="D256" s="694"/>
      <c r="E256" s="694"/>
      <c r="F256" s="694"/>
      <c r="G256" s="694"/>
      <c r="H256" s="694"/>
      <c r="I256" s="694"/>
      <c r="J256" s="694"/>
      <c r="K256" s="694"/>
      <c r="L256" s="694"/>
      <c r="R256" s="696"/>
      <c r="V256" s="694"/>
    </row>
    <row r="257" spans="1:22" s="695" customFormat="1">
      <c r="A257" s="694"/>
      <c r="B257" s="694"/>
      <c r="C257" s="694"/>
      <c r="D257" s="694"/>
      <c r="E257" s="694"/>
      <c r="F257" s="694"/>
      <c r="G257" s="694"/>
      <c r="H257" s="694"/>
      <c r="I257" s="694"/>
      <c r="J257" s="694"/>
      <c r="K257" s="694"/>
      <c r="L257" s="694"/>
      <c r="R257" s="696"/>
      <c r="V257" s="694"/>
    </row>
    <row r="258" spans="1:22" s="695" customFormat="1">
      <c r="A258" s="694"/>
      <c r="B258" s="694"/>
      <c r="C258" s="694"/>
      <c r="D258" s="694"/>
      <c r="E258" s="694"/>
      <c r="F258" s="694"/>
      <c r="G258" s="694"/>
      <c r="H258" s="694"/>
      <c r="I258" s="694"/>
      <c r="J258" s="694"/>
      <c r="K258" s="694"/>
      <c r="L258" s="694"/>
      <c r="R258" s="696"/>
      <c r="V258" s="694"/>
    </row>
    <row r="259" spans="1:22" s="695" customFormat="1">
      <c r="A259" s="694"/>
      <c r="B259" s="694"/>
      <c r="C259" s="694"/>
      <c r="D259" s="694"/>
      <c r="E259" s="694"/>
      <c r="F259" s="694"/>
      <c r="G259" s="694"/>
      <c r="H259" s="694"/>
      <c r="I259" s="694"/>
      <c r="J259" s="694"/>
      <c r="K259" s="694"/>
      <c r="L259" s="694"/>
      <c r="R259" s="696"/>
      <c r="V259" s="694"/>
    </row>
    <row r="260" spans="1:22" s="695" customFormat="1">
      <c r="A260" s="694"/>
      <c r="B260" s="694"/>
      <c r="C260" s="694"/>
      <c r="D260" s="694"/>
      <c r="E260" s="694"/>
      <c r="F260" s="694"/>
      <c r="G260" s="694"/>
      <c r="H260" s="694"/>
      <c r="I260" s="694"/>
      <c r="J260" s="694"/>
      <c r="K260" s="694"/>
      <c r="L260" s="694"/>
      <c r="R260" s="696"/>
      <c r="V260" s="694"/>
    </row>
    <row r="261" spans="1:22" s="695" customFormat="1">
      <c r="A261" s="694"/>
      <c r="B261" s="694"/>
      <c r="C261" s="694"/>
      <c r="D261" s="694"/>
      <c r="E261" s="694"/>
      <c r="F261" s="694"/>
      <c r="G261" s="694"/>
      <c r="H261" s="694"/>
      <c r="I261" s="694"/>
      <c r="J261" s="694"/>
      <c r="K261" s="694"/>
      <c r="L261" s="694"/>
      <c r="R261" s="696"/>
      <c r="V261" s="694"/>
    </row>
    <row r="262" spans="1:22" s="695" customFormat="1">
      <c r="A262" s="694"/>
      <c r="B262" s="694"/>
      <c r="C262" s="694"/>
      <c r="D262" s="694"/>
      <c r="E262" s="694"/>
      <c r="F262" s="694"/>
      <c r="G262" s="694"/>
      <c r="H262" s="694"/>
      <c r="I262" s="694"/>
      <c r="J262" s="694"/>
      <c r="K262" s="694"/>
      <c r="L262" s="694"/>
      <c r="R262" s="696"/>
      <c r="V262" s="694"/>
    </row>
    <row r="263" spans="1:22" s="695" customFormat="1">
      <c r="A263" s="694"/>
      <c r="B263" s="694"/>
      <c r="C263" s="694"/>
      <c r="D263" s="694"/>
      <c r="E263" s="694"/>
      <c r="F263" s="1026"/>
      <c r="G263" s="694"/>
      <c r="H263" s="711"/>
      <c r="I263" s="711"/>
      <c r="J263" s="694"/>
      <c r="K263" s="694"/>
      <c r="R263" s="696"/>
      <c r="V263" s="694"/>
    </row>
  </sheetData>
  <sheetProtection selectLockedCells="1"/>
  <mergeCells count="8">
    <mergeCell ref="B40:C40"/>
    <mergeCell ref="B1:E1"/>
    <mergeCell ref="H1:M1"/>
    <mergeCell ref="A9:Q9"/>
    <mergeCell ref="A28:Q28"/>
    <mergeCell ref="A38:Q38"/>
    <mergeCell ref="D11:E11"/>
    <mergeCell ref="D30:E30"/>
  </mergeCells>
  <pageMargins left="0.7" right="0.7" top="0.75" bottom="0.75" header="0.3" footer="0.3"/>
  <pageSetup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0D2C-9D52-4E8C-B165-1B9DD906ECF0}">
  <sheetPr>
    <tabColor rgb="FF009999"/>
  </sheetPr>
  <dimension ref="A1:Y31"/>
  <sheetViews>
    <sheetView topLeftCell="A13" zoomScale="70" zoomScaleNormal="70" workbookViewId="0">
      <selection activeCell="N12" sqref="N12"/>
    </sheetView>
  </sheetViews>
  <sheetFormatPr baseColWidth="10" defaultColWidth="9.140625" defaultRowHeight="15"/>
  <cols>
    <col min="1" max="1" width="23.85546875" style="765" customWidth="1"/>
    <col min="2" max="2" width="17" style="765" customWidth="1"/>
    <col min="3" max="3" width="19.140625" style="765" bestFit="1" customWidth="1"/>
    <col min="4" max="4" width="14.85546875" style="765" bestFit="1" customWidth="1"/>
    <col min="5" max="5" width="17" style="765" bestFit="1" customWidth="1"/>
    <col min="6" max="6" width="14.85546875" style="765" customWidth="1"/>
    <col min="7" max="7" width="16.42578125" style="765" customWidth="1"/>
    <col min="8" max="8" width="14.28515625" style="765" bestFit="1" customWidth="1"/>
    <col min="9" max="9" width="13.85546875" style="765" customWidth="1"/>
    <col min="10" max="10" width="21.5703125" style="765" bestFit="1" customWidth="1"/>
    <col min="11" max="11" width="14.42578125" style="765" customWidth="1"/>
    <col min="12" max="25" width="15.7109375" style="1087" customWidth="1"/>
    <col min="26" max="26" width="15.7109375" style="765" customWidth="1"/>
    <col min="27" max="16384" width="9.140625" style="765"/>
  </cols>
  <sheetData>
    <row r="1" spans="1:25" ht="76.5" customHeight="1" thickBot="1">
      <c r="A1" s="825" t="s">
        <v>1174</v>
      </c>
      <c r="B1" s="2126" t="s">
        <v>1175</v>
      </c>
      <c r="C1" s="2127"/>
      <c r="D1" s="2127"/>
      <c r="E1" s="2127"/>
      <c r="F1" s="2127"/>
      <c r="G1" s="2128"/>
      <c r="I1" s="772"/>
      <c r="J1" s="772"/>
      <c r="K1" s="772"/>
      <c r="M1" s="2030" t="s">
        <v>414</v>
      </c>
      <c r="N1" s="2031"/>
      <c r="O1" s="2031"/>
      <c r="P1" s="2031"/>
      <c r="Q1" s="2031"/>
      <c r="R1" s="2032"/>
    </row>
    <row r="2" spans="1:25">
      <c r="B2" s="1125"/>
      <c r="M2" s="906" t="s">
        <v>415</v>
      </c>
      <c r="N2" s="907"/>
      <c r="O2" s="908" t="s">
        <v>416</v>
      </c>
      <c r="P2" s="1126"/>
      <c r="Q2" s="908" t="s">
        <v>417</v>
      </c>
      <c r="R2" s="1127"/>
    </row>
    <row r="3" spans="1:25">
      <c r="B3" s="1125"/>
      <c r="S3" s="1088"/>
      <c r="T3" s="1089"/>
      <c r="U3" s="1088"/>
      <c r="V3" s="1128"/>
      <c r="W3" s="1088"/>
      <c r="X3" s="1128"/>
    </row>
    <row r="4" spans="1:25" ht="37.5">
      <c r="A4" s="885"/>
      <c r="B4" s="692" t="s">
        <v>547</v>
      </c>
      <c r="F4" s="1087"/>
      <c r="G4" s="2125"/>
      <c r="H4" s="2125"/>
      <c r="I4" s="1129"/>
      <c r="J4" s="1129"/>
      <c r="K4" s="1129"/>
      <c r="M4" s="1088"/>
      <c r="N4" s="1089"/>
      <c r="O4" s="1088"/>
      <c r="P4" s="1128"/>
      <c r="Q4" s="1088"/>
      <c r="R4" s="1128"/>
      <c r="T4" s="765"/>
      <c r="U4" s="765"/>
      <c r="V4" s="765"/>
      <c r="W4" s="765"/>
      <c r="X4" s="765"/>
      <c r="Y4" s="765"/>
    </row>
    <row r="5" spans="1:25" ht="37.5">
      <c r="A5" s="692" t="s">
        <v>1176</v>
      </c>
      <c r="B5" s="886">
        <f>SUM(M9:M28)</f>
        <v>0</v>
      </c>
      <c r="E5" s="1130"/>
      <c r="F5" s="1130"/>
      <c r="G5" s="1130"/>
      <c r="H5" s="1130"/>
      <c r="I5" s="1130"/>
      <c r="J5" s="1129"/>
      <c r="K5" s="1129"/>
      <c r="M5" s="1088"/>
      <c r="N5" s="1089"/>
      <c r="O5" s="1088"/>
      <c r="P5" s="1128"/>
      <c r="Q5" s="1088"/>
      <c r="R5" s="765"/>
      <c r="S5" s="765"/>
      <c r="T5" s="765"/>
      <c r="U5" s="765"/>
      <c r="V5" s="765"/>
      <c r="W5" s="765"/>
      <c r="X5" s="765"/>
      <c r="Y5" s="765"/>
    </row>
    <row r="6" spans="1:25" ht="15" customHeight="1">
      <c r="A6" s="1131"/>
      <c r="B6" s="1131"/>
      <c r="I6" s="1125"/>
      <c r="S6" s="1088"/>
      <c r="T6" s="1089"/>
      <c r="U6" s="1088"/>
      <c r="V6" s="1128"/>
      <c r="W6" s="1088"/>
      <c r="X6" s="765"/>
      <c r="Y6" s="765"/>
    </row>
    <row r="7" spans="1:25" s="743" customFormat="1" ht="24" thickBot="1">
      <c r="A7" s="724"/>
      <c r="C7" s="2007" t="s">
        <v>427</v>
      </c>
      <c r="D7" s="2008"/>
      <c r="K7" s="1107"/>
      <c r="L7" s="1107"/>
      <c r="M7" s="1107"/>
      <c r="N7" s="1107"/>
      <c r="O7" s="1107"/>
      <c r="P7" s="1107"/>
      <c r="Q7" s="1107"/>
      <c r="R7" s="1107"/>
      <c r="S7" s="1107"/>
      <c r="T7" s="1107"/>
      <c r="U7" s="1107"/>
      <c r="V7" s="1107"/>
      <c r="W7" s="1107"/>
      <c r="X7" s="1107"/>
    </row>
    <row r="8" spans="1:25" ht="63">
      <c r="A8" s="773" t="s">
        <v>428</v>
      </c>
      <c r="B8" s="748" t="s">
        <v>1177</v>
      </c>
      <c r="C8" s="748" t="s">
        <v>1178</v>
      </c>
      <c r="D8" s="748" t="s">
        <v>1179</v>
      </c>
      <c r="E8" s="748" t="s">
        <v>1180</v>
      </c>
      <c r="F8" s="748" t="s">
        <v>1181</v>
      </c>
      <c r="G8" s="798" t="s">
        <v>1182</v>
      </c>
      <c r="H8" s="798" t="s">
        <v>464</v>
      </c>
      <c r="I8" s="748" t="s">
        <v>448</v>
      </c>
      <c r="J8" s="748" t="s">
        <v>547</v>
      </c>
      <c r="K8" s="748" t="s">
        <v>690</v>
      </c>
      <c r="L8" s="796" t="s">
        <v>691</v>
      </c>
      <c r="M8" s="983" t="s">
        <v>547</v>
      </c>
      <c r="N8" s="765"/>
      <c r="O8" s="765"/>
      <c r="P8" s="765"/>
      <c r="Q8" s="765"/>
      <c r="R8" s="765"/>
      <c r="S8" s="765"/>
      <c r="T8" s="765"/>
      <c r="U8" s="765"/>
      <c r="V8" s="765"/>
      <c r="W8" s="765"/>
      <c r="X8" s="765"/>
      <c r="Y8" s="765"/>
    </row>
    <row r="9" spans="1:25" ht="15.75">
      <c r="A9" s="892"/>
      <c r="B9" s="892"/>
      <c r="C9" s="892"/>
      <c r="D9" s="1132" t="str">
        <f>IFERROR(B9/C9,"0")</f>
        <v>0</v>
      </c>
      <c r="E9" s="892"/>
      <c r="F9" s="893">
        <f>IFERROR(D9*E9," ")</f>
        <v>0</v>
      </c>
      <c r="G9" s="1040">
        <f>'Emission Factors'!F684</f>
        <v>9.5657399999999999</v>
      </c>
      <c r="H9" s="753">
        <f>(F9/G9)*0.001</f>
        <v>0</v>
      </c>
      <c r="I9" s="753">
        <f>H9*'Emission Factors'!$B$700</f>
        <v>0</v>
      </c>
      <c r="J9" s="753">
        <f>$I9*'Emission Factors'!$C$700*0.001</f>
        <v>0</v>
      </c>
      <c r="K9" s="753">
        <f>$I9*'Emission Factors'!$D$700*0.001</f>
        <v>0</v>
      </c>
      <c r="L9" s="753">
        <f>$I9*'Emission Factors'!$E$700*0.001</f>
        <v>0</v>
      </c>
      <c r="M9" s="1037">
        <f t="shared" ref="M9:M28" si="0">J9+K9+L9</f>
        <v>0</v>
      </c>
      <c r="N9" s="765"/>
      <c r="O9" s="765"/>
      <c r="P9" s="765"/>
      <c r="Q9" s="765"/>
      <c r="R9" s="765"/>
      <c r="S9" s="765"/>
      <c r="T9" s="765"/>
      <c r="U9" s="765"/>
      <c r="V9" s="765"/>
      <c r="W9" s="765"/>
      <c r="X9" s="765"/>
      <c r="Y9" s="765"/>
    </row>
    <row r="10" spans="1:25" ht="15.75">
      <c r="A10" s="892"/>
      <c r="B10" s="892"/>
      <c r="C10" s="892"/>
      <c r="D10" s="1132" t="str">
        <f t="shared" ref="D10:D28" si="1">IFERROR(B10/C10,"0")</f>
        <v>0</v>
      </c>
      <c r="E10" s="892"/>
      <c r="F10" s="893">
        <f t="shared" ref="F10:F28" si="2">IFERROR(D10*E10," ")</f>
        <v>0</v>
      </c>
      <c r="G10" s="1040">
        <v>9.5657329999999998</v>
      </c>
      <c r="H10" s="753">
        <f t="shared" ref="H10:H28" si="3">(F10/G10)*0.001</f>
        <v>0</v>
      </c>
      <c r="I10" s="753">
        <f>H10*'Emission Factors'!$B$700</f>
        <v>0</v>
      </c>
      <c r="J10" s="753">
        <f>$I10*'Emission Factors'!$C$700*0.001</f>
        <v>0</v>
      </c>
      <c r="K10" s="753">
        <f>$I10*'Emission Factors'!$D$700*0.001</f>
        <v>0</v>
      </c>
      <c r="L10" s="753">
        <f>$I10*'Emission Factors'!$E$700*0.001</f>
        <v>0</v>
      </c>
      <c r="M10" s="1037">
        <f t="shared" si="0"/>
        <v>0</v>
      </c>
      <c r="N10" s="765"/>
      <c r="O10" s="765"/>
      <c r="P10" s="765"/>
      <c r="Q10" s="765"/>
      <c r="R10" s="765"/>
      <c r="S10" s="765"/>
      <c r="T10" s="765"/>
      <c r="U10" s="765"/>
      <c r="V10" s="765"/>
      <c r="W10" s="765"/>
      <c r="X10" s="765"/>
      <c r="Y10" s="765"/>
    </row>
    <row r="11" spans="1:25" ht="15.75">
      <c r="A11" s="892"/>
      <c r="B11" s="892"/>
      <c r="C11" s="892"/>
      <c r="D11" s="1132" t="str">
        <f t="shared" si="1"/>
        <v>0</v>
      </c>
      <c r="E11" s="892"/>
      <c r="F11" s="893">
        <f t="shared" si="2"/>
        <v>0</v>
      </c>
      <c r="G11" s="1040">
        <v>9.5657329999999998</v>
      </c>
      <c r="H11" s="753">
        <f t="shared" si="3"/>
        <v>0</v>
      </c>
      <c r="I11" s="753">
        <f>H11*'Emission Factors'!$B$700</f>
        <v>0</v>
      </c>
      <c r="J11" s="753">
        <f>$I11*'Emission Factors'!$C$700*0.001</f>
        <v>0</v>
      </c>
      <c r="K11" s="753">
        <f>$I11*'Emission Factors'!$D$700*0.001</f>
        <v>0</v>
      </c>
      <c r="L11" s="753">
        <f>$I11*'Emission Factors'!$E$700*0.001</f>
        <v>0</v>
      </c>
      <c r="M11" s="1037">
        <f t="shared" si="0"/>
        <v>0</v>
      </c>
      <c r="N11" s="765"/>
      <c r="O11" s="765"/>
      <c r="P11" s="765"/>
      <c r="Q11" s="765"/>
      <c r="R11" s="765"/>
      <c r="S11" s="765"/>
      <c r="T11" s="765"/>
      <c r="U11" s="765"/>
      <c r="V11" s="765"/>
      <c r="W11" s="765"/>
      <c r="X11" s="765"/>
      <c r="Y11" s="765"/>
    </row>
    <row r="12" spans="1:25" ht="15.75">
      <c r="A12" s="892"/>
      <c r="B12" s="892"/>
      <c r="C12" s="892"/>
      <c r="D12" s="1132" t="str">
        <f t="shared" si="1"/>
        <v>0</v>
      </c>
      <c r="E12" s="892"/>
      <c r="F12" s="893">
        <f t="shared" si="2"/>
        <v>0</v>
      </c>
      <c r="G12" s="1040">
        <v>9.5657329999999998</v>
      </c>
      <c r="H12" s="753">
        <f t="shared" si="3"/>
        <v>0</v>
      </c>
      <c r="I12" s="753">
        <f>H12*'Emission Factors'!$B$700</f>
        <v>0</v>
      </c>
      <c r="J12" s="753">
        <f>$I12*'Emission Factors'!$C$700*0.001</f>
        <v>0</v>
      </c>
      <c r="K12" s="753">
        <f>$I12*'Emission Factors'!$D$700*0.001</f>
        <v>0</v>
      </c>
      <c r="L12" s="753">
        <f>$I12*'Emission Factors'!$E$700*0.001</f>
        <v>0</v>
      </c>
      <c r="M12" s="1037">
        <f t="shared" si="0"/>
        <v>0</v>
      </c>
      <c r="N12" s="765"/>
      <c r="O12" s="765"/>
      <c r="P12" s="765"/>
      <c r="Q12" s="765"/>
      <c r="R12" s="765"/>
      <c r="S12" s="765"/>
      <c r="T12" s="765"/>
      <c r="U12" s="765"/>
      <c r="V12" s="765"/>
      <c r="W12" s="765"/>
      <c r="X12" s="765"/>
      <c r="Y12" s="765"/>
    </row>
    <row r="13" spans="1:25" ht="15.75">
      <c r="A13" s="892"/>
      <c r="B13" s="892"/>
      <c r="C13" s="892"/>
      <c r="D13" s="1132" t="str">
        <f t="shared" si="1"/>
        <v>0</v>
      </c>
      <c r="E13" s="892"/>
      <c r="F13" s="893">
        <f t="shared" si="2"/>
        <v>0</v>
      </c>
      <c r="G13" s="1040">
        <v>9.5657329999999998</v>
      </c>
      <c r="H13" s="753">
        <f t="shared" si="3"/>
        <v>0</v>
      </c>
      <c r="I13" s="753">
        <f>H13*'Emission Factors'!$B$700</f>
        <v>0</v>
      </c>
      <c r="J13" s="753">
        <f>$I13*'Emission Factors'!$C$700*0.001</f>
        <v>0</v>
      </c>
      <c r="K13" s="753">
        <f>$I13*'Emission Factors'!$D$700*0.001</f>
        <v>0</v>
      </c>
      <c r="L13" s="753">
        <f>$I13*'Emission Factors'!$E$700*0.001</f>
        <v>0</v>
      </c>
      <c r="M13" s="1037">
        <f t="shared" si="0"/>
        <v>0</v>
      </c>
      <c r="N13" s="765"/>
      <c r="O13" s="765"/>
      <c r="P13" s="765"/>
      <c r="Q13" s="765"/>
      <c r="R13" s="765"/>
      <c r="S13" s="765"/>
      <c r="T13" s="765"/>
      <c r="U13" s="765"/>
      <c r="V13" s="765"/>
      <c r="W13" s="765"/>
      <c r="X13" s="765"/>
      <c r="Y13" s="765"/>
    </row>
    <row r="14" spans="1:25" ht="15.75">
      <c r="A14" s="892"/>
      <c r="B14" s="892"/>
      <c r="C14" s="892"/>
      <c r="D14" s="1132" t="str">
        <f t="shared" si="1"/>
        <v>0</v>
      </c>
      <c r="E14" s="892"/>
      <c r="F14" s="893">
        <f t="shared" si="2"/>
        <v>0</v>
      </c>
      <c r="G14" s="1040">
        <v>9.5657329999999998</v>
      </c>
      <c r="H14" s="753">
        <f t="shared" si="3"/>
        <v>0</v>
      </c>
      <c r="I14" s="753">
        <f>H14*'Emission Factors'!$B$700</f>
        <v>0</v>
      </c>
      <c r="J14" s="753">
        <f>$I14*'Emission Factors'!$C$700*0.001</f>
        <v>0</v>
      </c>
      <c r="K14" s="753">
        <f>$I14*'Emission Factors'!$D$700*0.001</f>
        <v>0</v>
      </c>
      <c r="L14" s="753">
        <f>$I14*'Emission Factors'!$E$700*0.001</f>
        <v>0</v>
      </c>
      <c r="M14" s="1037">
        <f t="shared" si="0"/>
        <v>0</v>
      </c>
      <c r="N14" s="765"/>
      <c r="O14" s="765"/>
      <c r="P14" s="765"/>
      <c r="Q14" s="765"/>
      <c r="R14" s="765"/>
      <c r="S14" s="765"/>
      <c r="T14" s="765"/>
      <c r="U14" s="765"/>
      <c r="V14" s="765"/>
      <c r="W14" s="765"/>
      <c r="X14" s="765"/>
      <c r="Y14" s="765"/>
    </row>
    <row r="15" spans="1:25" ht="15.75">
      <c r="A15" s="892"/>
      <c r="B15" s="892"/>
      <c r="C15" s="892"/>
      <c r="D15" s="1132" t="str">
        <f t="shared" si="1"/>
        <v>0</v>
      </c>
      <c r="E15" s="892"/>
      <c r="F15" s="893">
        <f t="shared" si="2"/>
        <v>0</v>
      </c>
      <c r="G15" s="1040">
        <v>9.5657329999999998</v>
      </c>
      <c r="H15" s="753">
        <f t="shared" si="3"/>
        <v>0</v>
      </c>
      <c r="I15" s="753">
        <f>H15*'Emission Factors'!$B$700</f>
        <v>0</v>
      </c>
      <c r="J15" s="753">
        <f>$I15*'Emission Factors'!$C$700*0.001</f>
        <v>0</v>
      </c>
      <c r="K15" s="753">
        <f>$I15*'Emission Factors'!$D$700*0.001</f>
        <v>0</v>
      </c>
      <c r="L15" s="753">
        <f>$I15*'Emission Factors'!$E$700*0.001</f>
        <v>0</v>
      </c>
      <c r="M15" s="1037">
        <f t="shared" si="0"/>
        <v>0</v>
      </c>
      <c r="N15" s="765"/>
      <c r="O15" s="765"/>
      <c r="P15" s="765"/>
      <c r="Q15" s="765"/>
      <c r="R15" s="765"/>
      <c r="S15" s="765"/>
      <c r="T15" s="765"/>
      <c r="U15" s="765"/>
      <c r="V15" s="765"/>
      <c r="W15" s="765"/>
      <c r="X15" s="765"/>
      <c r="Y15" s="765"/>
    </row>
    <row r="16" spans="1:25" ht="15.75">
      <c r="A16" s="892"/>
      <c r="B16" s="892"/>
      <c r="C16" s="892"/>
      <c r="D16" s="1132" t="str">
        <f t="shared" si="1"/>
        <v>0</v>
      </c>
      <c r="E16" s="892"/>
      <c r="F16" s="893">
        <f t="shared" si="2"/>
        <v>0</v>
      </c>
      <c r="G16" s="1040">
        <v>9.5657329999999998</v>
      </c>
      <c r="H16" s="753">
        <f t="shared" si="3"/>
        <v>0</v>
      </c>
      <c r="I16" s="753">
        <f>H16*'Emission Factors'!$B$700</f>
        <v>0</v>
      </c>
      <c r="J16" s="753">
        <f>$I16*'Emission Factors'!$C$700*0.001</f>
        <v>0</v>
      </c>
      <c r="K16" s="753">
        <f>$I16*'Emission Factors'!$D$700*0.001</f>
        <v>0</v>
      </c>
      <c r="L16" s="753">
        <f>$I16*'Emission Factors'!$E$700*0.001</f>
        <v>0</v>
      </c>
      <c r="M16" s="1037">
        <f t="shared" si="0"/>
        <v>0</v>
      </c>
      <c r="N16" s="765"/>
      <c r="O16" s="765"/>
      <c r="P16" s="765"/>
      <c r="Q16" s="765"/>
      <c r="R16" s="765"/>
      <c r="S16" s="765"/>
      <c r="T16" s="765"/>
      <c r="U16" s="765"/>
      <c r="V16" s="765"/>
      <c r="W16" s="765"/>
      <c r="X16" s="765"/>
      <c r="Y16" s="765"/>
    </row>
    <row r="17" spans="1:25" ht="15.75">
      <c r="A17" s="892"/>
      <c r="B17" s="892"/>
      <c r="C17" s="892"/>
      <c r="D17" s="1132" t="str">
        <f t="shared" si="1"/>
        <v>0</v>
      </c>
      <c r="E17" s="892"/>
      <c r="F17" s="893">
        <f t="shared" si="2"/>
        <v>0</v>
      </c>
      <c r="G17" s="1040">
        <v>9.5657329999999998</v>
      </c>
      <c r="H17" s="753">
        <f t="shared" si="3"/>
        <v>0</v>
      </c>
      <c r="I17" s="753">
        <f>H17*'Emission Factors'!$B$700</f>
        <v>0</v>
      </c>
      <c r="J17" s="753">
        <f>$I17*'Emission Factors'!$C$700*0.001</f>
        <v>0</v>
      </c>
      <c r="K17" s="753">
        <f>$I17*'Emission Factors'!$D$700*0.001</f>
        <v>0</v>
      </c>
      <c r="L17" s="753">
        <f>$I17*'Emission Factors'!$E$700*0.001</f>
        <v>0</v>
      </c>
      <c r="M17" s="1037">
        <f t="shared" si="0"/>
        <v>0</v>
      </c>
      <c r="N17" s="765"/>
      <c r="O17" s="765"/>
      <c r="P17" s="765"/>
      <c r="Q17" s="765"/>
      <c r="R17" s="765"/>
      <c r="S17" s="765"/>
      <c r="T17" s="765"/>
      <c r="U17" s="765"/>
      <c r="V17" s="765"/>
      <c r="W17" s="765"/>
      <c r="X17" s="765"/>
      <c r="Y17" s="765"/>
    </row>
    <row r="18" spans="1:25" ht="15.75">
      <c r="A18" s="892"/>
      <c r="B18" s="892"/>
      <c r="C18" s="892"/>
      <c r="D18" s="1132" t="str">
        <f t="shared" si="1"/>
        <v>0</v>
      </c>
      <c r="E18" s="892"/>
      <c r="F18" s="893">
        <f t="shared" si="2"/>
        <v>0</v>
      </c>
      <c r="G18" s="1040">
        <v>9.5657329999999998</v>
      </c>
      <c r="H18" s="753">
        <f t="shared" si="3"/>
        <v>0</v>
      </c>
      <c r="I18" s="753">
        <f>H18*'Emission Factors'!$B$700</f>
        <v>0</v>
      </c>
      <c r="J18" s="753">
        <f>$I18*'Emission Factors'!$C$700*0.001</f>
        <v>0</v>
      </c>
      <c r="K18" s="753">
        <f>$I18*'Emission Factors'!$D$700*0.001</f>
        <v>0</v>
      </c>
      <c r="L18" s="753">
        <f>$I18*'Emission Factors'!$E$700*0.001</f>
        <v>0</v>
      </c>
      <c r="M18" s="1037">
        <f t="shared" si="0"/>
        <v>0</v>
      </c>
      <c r="N18" s="765"/>
      <c r="O18" s="765"/>
      <c r="P18" s="765"/>
      <c r="Q18" s="765"/>
      <c r="R18" s="765"/>
      <c r="S18" s="765"/>
      <c r="T18" s="765"/>
      <c r="U18" s="765"/>
      <c r="V18" s="765"/>
      <c r="W18" s="765"/>
      <c r="X18" s="765"/>
      <c r="Y18" s="765"/>
    </row>
    <row r="19" spans="1:25" ht="15.75">
      <c r="A19" s="892"/>
      <c r="B19" s="892"/>
      <c r="C19" s="892"/>
      <c r="D19" s="1132" t="str">
        <f t="shared" si="1"/>
        <v>0</v>
      </c>
      <c r="E19" s="892"/>
      <c r="F19" s="893">
        <f t="shared" si="2"/>
        <v>0</v>
      </c>
      <c r="G19" s="1040">
        <v>9.5657329999999998</v>
      </c>
      <c r="H19" s="753">
        <f t="shared" si="3"/>
        <v>0</v>
      </c>
      <c r="I19" s="753">
        <f>H19*'Emission Factors'!$B$700</f>
        <v>0</v>
      </c>
      <c r="J19" s="753">
        <f>$I19*'Emission Factors'!$C$700*0.001</f>
        <v>0</v>
      </c>
      <c r="K19" s="753">
        <f>$I19*'Emission Factors'!$D$700*0.001</f>
        <v>0</v>
      </c>
      <c r="L19" s="753">
        <f>$I19*'Emission Factors'!$E$700*0.001</f>
        <v>0</v>
      </c>
      <c r="M19" s="1037">
        <f t="shared" si="0"/>
        <v>0</v>
      </c>
      <c r="N19" s="765"/>
      <c r="O19" s="765"/>
      <c r="P19" s="765"/>
      <c r="Q19" s="765"/>
      <c r="R19" s="765"/>
      <c r="S19" s="765"/>
      <c r="T19" s="765"/>
      <c r="U19" s="765"/>
      <c r="V19" s="765"/>
      <c r="W19" s="765"/>
      <c r="X19" s="765"/>
      <c r="Y19" s="765"/>
    </row>
    <row r="20" spans="1:25" ht="15.75">
      <c r="A20" s="892"/>
      <c r="B20" s="892"/>
      <c r="C20" s="892"/>
      <c r="D20" s="1132" t="str">
        <f t="shared" si="1"/>
        <v>0</v>
      </c>
      <c r="E20" s="892"/>
      <c r="F20" s="893">
        <f t="shared" si="2"/>
        <v>0</v>
      </c>
      <c r="G20" s="1040">
        <v>9.5657329999999998</v>
      </c>
      <c r="H20" s="753">
        <f t="shared" si="3"/>
        <v>0</v>
      </c>
      <c r="I20" s="753">
        <f>H20*'Emission Factors'!$B$700</f>
        <v>0</v>
      </c>
      <c r="J20" s="753">
        <f>$I20*'Emission Factors'!$C$700*0.001</f>
        <v>0</v>
      </c>
      <c r="K20" s="753">
        <f>$I20*'Emission Factors'!$D$700*0.001</f>
        <v>0</v>
      </c>
      <c r="L20" s="753">
        <f>$I20*'Emission Factors'!$E$700*0.001</f>
        <v>0</v>
      </c>
      <c r="M20" s="1037">
        <f t="shared" si="0"/>
        <v>0</v>
      </c>
      <c r="N20" s="765"/>
      <c r="O20" s="765"/>
      <c r="P20" s="765"/>
      <c r="Q20" s="765"/>
      <c r="R20" s="765"/>
      <c r="S20" s="765"/>
      <c r="T20" s="765"/>
      <c r="U20" s="765"/>
      <c r="V20" s="765"/>
      <c r="W20" s="765"/>
      <c r="X20" s="765"/>
      <c r="Y20" s="765"/>
    </row>
    <row r="21" spans="1:25" ht="15.75">
      <c r="A21" s="892"/>
      <c r="B21" s="892"/>
      <c r="C21" s="892"/>
      <c r="D21" s="1132" t="str">
        <f t="shared" si="1"/>
        <v>0</v>
      </c>
      <c r="E21" s="892"/>
      <c r="F21" s="893">
        <f t="shared" si="2"/>
        <v>0</v>
      </c>
      <c r="G21" s="1040">
        <v>9.5657329999999998</v>
      </c>
      <c r="H21" s="753">
        <f t="shared" si="3"/>
        <v>0</v>
      </c>
      <c r="I21" s="753">
        <f>H21*'Emission Factors'!$B$700</f>
        <v>0</v>
      </c>
      <c r="J21" s="753">
        <f>$I21*'Emission Factors'!$C$700*0.001</f>
        <v>0</v>
      </c>
      <c r="K21" s="753">
        <f>$I21*'Emission Factors'!$D$700*0.001</f>
        <v>0</v>
      </c>
      <c r="L21" s="753">
        <f>$I21*'Emission Factors'!$E$700*0.001</f>
        <v>0</v>
      </c>
      <c r="M21" s="1037">
        <f t="shared" si="0"/>
        <v>0</v>
      </c>
      <c r="N21" s="765"/>
      <c r="O21" s="765"/>
      <c r="P21" s="765"/>
      <c r="Q21" s="765"/>
      <c r="R21" s="765"/>
      <c r="S21" s="765"/>
      <c r="T21" s="765"/>
      <c r="U21" s="765"/>
      <c r="V21" s="765"/>
      <c r="W21" s="765"/>
      <c r="X21" s="765"/>
      <c r="Y21" s="765"/>
    </row>
    <row r="22" spans="1:25" ht="15.75">
      <c r="A22" s="892"/>
      <c r="B22" s="892"/>
      <c r="C22" s="892"/>
      <c r="D22" s="1132" t="str">
        <f t="shared" si="1"/>
        <v>0</v>
      </c>
      <c r="E22" s="892"/>
      <c r="F22" s="893">
        <f t="shared" si="2"/>
        <v>0</v>
      </c>
      <c r="G22" s="1040">
        <v>9.5657329999999998</v>
      </c>
      <c r="H22" s="753">
        <f t="shared" si="3"/>
        <v>0</v>
      </c>
      <c r="I22" s="753">
        <f>H22*'Emission Factors'!$B$700</f>
        <v>0</v>
      </c>
      <c r="J22" s="753">
        <f>$I22*'Emission Factors'!$C$700*0.001</f>
        <v>0</v>
      </c>
      <c r="K22" s="753">
        <f>$I22*'Emission Factors'!$D$700*0.001</f>
        <v>0</v>
      </c>
      <c r="L22" s="753">
        <f>$I22*'Emission Factors'!$E$700*0.001</f>
        <v>0</v>
      </c>
      <c r="M22" s="1037">
        <f t="shared" si="0"/>
        <v>0</v>
      </c>
      <c r="N22" s="765"/>
      <c r="O22" s="765"/>
      <c r="P22" s="765"/>
      <c r="Q22" s="765"/>
      <c r="R22" s="765"/>
      <c r="S22" s="765"/>
      <c r="T22" s="765"/>
      <c r="U22" s="765"/>
      <c r="V22" s="765"/>
      <c r="W22" s="765"/>
      <c r="X22" s="765"/>
      <c r="Y22" s="765"/>
    </row>
    <row r="23" spans="1:25" ht="15.75">
      <c r="A23" s="892"/>
      <c r="B23" s="892"/>
      <c r="C23" s="892"/>
      <c r="D23" s="1132" t="str">
        <f t="shared" si="1"/>
        <v>0</v>
      </c>
      <c r="E23" s="892"/>
      <c r="F23" s="893">
        <f t="shared" si="2"/>
        <v>0</v>
      </c>
      <c r="G23" s="1040">
        <v>9.5657329999999998</v>
      </c>
      <c r="H23" s="753">
        <f t="shared" si="3"/>
        <v>0</v>
      </c>
      <c r="I23" s="753">
        <f>H23*'Emission Factors'!$B$700</f>
        <v>0</v>
      </c>
      <c r="J23" s="753">
        <f>$I23*'Emission Factors'!$C$700*0.001</f>
        <v>0</v>
      </c>
      <c r="K23" s="753">
        <f>$I23*'Emission Factors'!$D$700*0.001</f>
        <v>0</v>
      </c>
      <c r="L23" s="753">
        <f>$I23*'Emission Factors'!$E$700*0.001</f>
        <v>0</v>
      </c>
      <c r="M23" s="1037">
        <f t="shared" si="0"/>
        <v>0</v>
      </c>
      <c r="N23" s="765"/>
      <c r="O23" s="765"/>
      <c r="P23" s="765"/>
      <c r="Q23" s="765"/>
      <c r="R23" s="765"/>
      <c r="S23" s="765"/>
      <c r="T23" s="765"/>
      <c r="U23" s="765"/>
      <c r="V23" s="765"/>
      <c r="W23" s="765"/>
      <c r="X23" s="765"/>
      <c r="Y23" s="765"/>
    </row>
    <row r="24" spans="1:25" ht="15.75">
      <c r="A24" s="892"/>
      <c r="B24" s="892"/>
      <c r="C24" s="892"/>
      <c r="D24" s="1132" t="str">
        <f t="shared" si="1"/>
        <v>0</v>
      </c>
      <c r="E24" s="892"/>
      <c r="F24" s="893">
        <f t="shared" si="2"/>
        <v>0</v>
      </c>
      <c r="G24" s="1040">
        <v>9.5657329999999998</v>
      </c>
      <c r="H24" s="753">
        <f t="shared" si="3"/>
        <v>0</v>
      </c>
      <c r="I24" s="753">
        <f>H24*'Emission Factors'!$B$700</f>
        <v>0</v>
      </c>
      <c r="J24" s="753">
        <f>$I24*'Emission Factors'!$C$700*0.001</f>
        <v>0</v>
      </c>
      <c r="K24" s="753">
        <f>$I24*'Emission Factors'!$D$700*0.001</f>
        <v>0</v>
      </c>
      <c r="L24" s="753">
        <f>$I24*'Emission Factors'!$E$700*0.001</f>
        <v>0</v>
      </c>
      <c r="M24" s="1037">
        <f t="shared" si="0"/>
        <v>0</v>
      </c>
      <c r="N24" s="765"/>
      <c r="O24" s="765"/>
      <c r="P24" s="765"/>
      <c r="Q24" s="765"/>
      <c r="R24" s="765"/>
      <c r="S24" s="765"/>
      <c r="T24" s="765"/>
      <c r="U24" s="765"/>
      <c r="V24" s="765"/>
      <c r="W24" s="765"/>
      <c r="X24" s="765"/>
      <c r="Y24" s="765"/>
    </row>
    <row r="25" spans="1:25" ht="15.75">
      <c r="A25" s="892"/>
      <c r="B25" s="892"/>
      <c r="C25" s="892"/>
      <c r="D25" s="1132" t="str">
        <f t="shared" si="1"/>
        <v>0</v>
      </c>
      <c r="E25" s="892"/>
      <c r="F25" s="893">
        <f t="shared" si="2"/>
        <v>0</v>
      </c>
      <c r="G25" s="1040">
        <v>9.5657329999999998</v>
      </c>
      <c r="H25" s="753">
        <f t="shared" si="3"/>
        <v>0</v>
      </c>
      <c r="I25" s="753">
        <f>H25*'Emission Factors'!$B$700</f>
        <v>0</v>
      </c>
      <c r="J25" s="753">
        <f>$I25*'Emission Factors'!$C$700*0.001</f>
        <v>0</v>
      </c>
      <c r="K25" s="753">
        <f>$I25*'Emission Factors'!$D$700*0.001</f>
        <v>0</v>
      </c>
      <c r="L25" s="753">
        <f>$I25*'Emission Factors'!$E$700*0.001</f>
        <v>0</v>
      </c>
      <c r="M25" s="1037">
        <f t="shared" si="0"/>
        <v>0</v>
      </c>
      <c r="N25" s="765"/>
      <c r="O25" s="765"/>
      <c r="P25" s="765"/>
      <c r="Q25" s="765"/>
      <c r="R25" s="765"/>
      <c r="S25" s="765"/>
      <c r="T25" s="765"/>
      <c r="U25" s="765"/>
      <c r="V25" s="765"/>
      <c r="W25" s="765"/>
      <c r="X25" s="765"/>
      <c r="Y25" s="765"/>
    </row>
    <row r="26" spans="1:25" ht="15.75">
      <c r="A26" s="892"/>
      <c r="B26" s="892"/>
      <c r="C26" s="892"/>
      <c r="D26" s="1132" t="str">
        <f t="shared" si="1"/>
        <v>0</v>
      </c>
      <c r="E26" s="892"/>
      <c r="F26" s="893">
        <f t="shared" si="2"/>
        <v>0</v>
      </c>
      <c r="G26" s="1040">
        <v>9.5657329999999998</v>
      </c>
      <c r="H26" s="753">
        <f t="shared" si="3"/>
        <v>0</v>
      </c>
      <c r="I26" s="753">
        <f>H26*'Emission Factors'!$B$700</f>
        <v>0</v>
      </c>
      <c r="J26" s="753">
        <f>$I26*'Emission Factors'!$C$700*0.001</f>
        <v>0</v>
      </c>
      <c r="K26" s="753">
        <f>$I26*'Emission Factors'!$D$700*0.001</f>
        <v>0</v>
      </c>
      <c r="L26" s="753">
        <f>$I26*'Emission Factors'!$E$700*0.001</f>
        <v>0</v>
      </c>
      <c r="M26" s="1037">
        <f t="shared" si="0"/>
        <v>0</v>
      </c>
      <c r="N26" s="765"/>
      <c r="O26" s="765"/>
      <c r="P26" s="765"/>
      <c r="Q26" s="765"/>
      <c r="R26" s="765"/>
      <c r="S26" s="765"/>
      <c r="T26" s="765"/>
      <c r="U26" s="765"/>
      <c r="V26" s="765"/>
      <c r="W26" s="765"/>
      <c r="X26" s="765"/>
      <c r="Y26" s="765"/>
    </row>
    <row r="27" spans="1:25" ht="15.75">
      <c r="A27" s="892"/>
      <c r="B27" s="892"/>
      <c r="C27" s="892"/>
      <c r="D27" s="1132" t="str">
        <f t="shared" si="1"/>
        <v>0</v>
      </c>
      <c r="E27" s="892"/>
      <c r="F27" s="893">
        <f t="shared" si="2"/>
        <v>0</v>
      </c>
      <c r="G27" s="1040">
        <v>9.5657329999999998</v>
      </c>
      <c r="H27" s="753">
        <f t="shared" si="3"/>
        <v>0</v>
      </c>
      <c r="I27" s="753">
        <f>H27*'Emission Factors'!$B$700</f>
        <v>0</v>
      </c>
      <c r="J27" s="753">
        <f>$I27*'Emission Factors'!$C$700*0.001</f>
        <v>0</v>
      </c>
      <c r="K27" s="753">
        <f>$I27*'Emission Factors'!$D$700*0.001</f>
        <v>0</v>
      </c>
      <c r="L27" s="753">
        <f>$I27*'Emission Factors'!$E$700*0.001</f>
        <v>0</v>
      </c>
      <c r="M27" s="1037">
        <f t="shared" si="0"/>
        <v>0</v>
      </c>
      <c r="N27" s="765"/>
      <c r="O27" s="765"/>
      <c r="P27" s="765"/>
      <c r="Q27" s="765"/>
      <c r="R27" s="765"/>
      <c r="S27" s="765"/>
      <c r="T27" s="765"/>
      <c r="U27" s="765"/>
      <c r="V27" s="765"/>
      <c r="W27" s="765"/>
      <c r="X27" s="765"/>
      <c r="Y27" s="765"/>
    </row>
    <row r="28" spans="1:25" ht="16.5" thickBot="1">
      <c r="A28" s="892"/>
      <c r="B28" s="892"/>
      <c r="C28" s="892"/>
      <c r="D28" s="1132" t="str">
        <f t="shared" si="1"/>
        <v>0</v>
      </c>
      <c r="E28" s="892"/>
      <c r="F28" s="893">
        <f t="shared" si="2"/>
        <v>0</v>
      </c>
      <c r="G28" s="1040">
        <v>9.5657329999999998</v>
      </c>
      <c r="H28" s="753">
        <f t="shared" si="3"/>
        <v>0</v>
      </c>
      <c r="I28" s="753">
        <f>H28*'Emission Factors'!$B$700</f>
        <v>0</v>
      </c>
      <c r="J28" s="753">
        <f>$I28*'Emission Factors'!$C$700*0.001</f>
        <v>0</v>
      </c>
      <c r="K28" s="753">
        <f>$I28*'Emission Factors'!$D$700*0.001</f>
        <v>0</v>
      </c>
      <c r="L28" s="753">
        <f>$I28*'Emission Factors'!$E$700*0.001</f>
        <v>0</v>
      </c>
      <c r="M28" s="1110">
        <f t="shared" si="0"/>
        <v>0</v>
      </c>
      <c r="N28" s="765"/>
      <c r="O28" s="765"/>
      <c r="P28" s="765"/>
      <c r="Q28" s="765"/>
      <c r="R28" s="765"/>
      <c r="S28" s="765"/>
      <c r="T28" s="765"/>
      <c r="U28" s="765"/>
      <c r="V28" s="765"/>
      <c r="W28" s="765"/>
      <c r="X28" s="765"/>
      <c r="Y28" s="765"/>
    </row>
    <row r="30" spans="1:25">
      <c r="A30" s="1133" t="s">
        <v>1183</v>
      </c>
    </row>
    <row r="31" spans="1:25" ht="15.75">
      <c r="A31" s="1111" t="s">
        <v>1070</v>
      </c>
    </row>
  </sheetData>
  <sheetProtection selectLockedCells="1"/>
  <mergeCells count="4">
    <mergeCell ref="M1:R1"/>
    <mergeCell ref="G4:H4"/>
    <mergeCell ref="B1:G1"/>
    <mergeCell ref="C7:D7"/>
  </mergeCells>
  <pageMargins left="0.7" right="0.7" top="0.75" bottom="0.75" header="0.3" footer="0.3"/>
  <pageSetup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AB59-159D-4CDC-A5A4-3BD76612B942}">
  <sheetPr>
    <tabColor rgb="FF009999"/>
  </sheetPr>
  <dimension ref="A1:N20"/>
  <sheetViews>
    <sheetView zoomScaleNormal="100" workbookViewId="0">
      <selection activeCell="B16" sqref="B16:B19"/>
    </sheetView>
  </sheetViews>
  <sheetFormatPr baseColWidth="10" defaultColWidth="9.140625" defaultRowHeight="15.75"/>
  <cols>
    <col min="1" max="1" width="31.42578125" style="694" bestFit="1" customWidth="1"/>
    <col min="2" max="6" width="18.140625" style="694" customWidth="1"/>
    <col min="7" max="7" width="24.85546875" style="694" customWidth="1"/>
    <col min="8" max="8" width="17.42578125" style="694" customWidth="1"/>
    <col min="9" max="9" width="24.85546875" style="694" customWidth="1"/>
    <col min="10" max="10" width="9.140625" style="694"/>
    <col min="11" max="11" width="12.140625" style="694" customWidth="1"/>
    <col min="12" max="12" width="9.140625" style="694"/>
    <col min="13" max="13" width="11.140625" style="694" customWidth="1"/>
    <col min="14" max="16384" width="9.140625" style="694"/>
  </cols>
  <sheetData>
    <row r="1" spans="1:14" ht="36.950000000000003" customHeight="1">
      <c r="A1" s="808" t="s">
        <v>1184</v>
      </c>
      <c r="B1" s="2021" t="s">
        <v>1185</v>
      </c>
      <c r="C1" s="2022"/>
      <c r="D1" s="2022"/>
      <c r="E1" s="2022"/>
      <c r="F1" s="2022"/>
      <c r="G1" s="2023"/>
      <c r="I1" s="2001" t="s">
        <v>414</v>
      </c>
      <c r="J1" s="2002"/>
      <c r="K1" s="2002"/>
      <c r="L1" s="2002"/>
      <c r="M1" s="2002"/>
      <c r="N1" s="2003"/>
    </row>
    <row r="2" spans="1:14" ht="31.5">
      <c r="A2" s="674"/>
      <c r="B2" s="769"/>
      <c r="I2" s="733" t="s">
        <v>415</v>
      </c>
      <c r="J2" s="734"/>
      <c r="K2" s="735" t="s">
        <v>416</v>
      </c>
      <c r="L2" s="736"/>
      <c r="M2" s="735" t="s">
        <v>417</v>
      </c>
      <c r="N2" s="737"/>
    </row>
    <row r="3" spans="1:14" ht="37.5">
      <c r="A3" s="912"/>
      <c r="B3" s="692" t="s">
        <v>547</v>
      </c>
    </row>
    <row r="4" spans="1:14" ht="37.5">
      <c r="A4" s="808" t="s">
        <v>1184</v>
      </c>
      <c r="B4" s="982">
        <f>F20</f>
        <v>0</v>
      </c>
    </row>
    <row r="6" spans="1:14" s="743" customFormat="1" ht="24" thickBot="1">
      <c r="C6" s="1991" t="s">
        <v>427</v>
      </c>
      <c r="D6" s="1992"/>
    </row>
    <row r="7" spans="1:14" s="809" customFormat="1" ht="47.25">
      <c r="A7" s="1134" t="s">
        <v>1186</v>
      </c>
      <c r="B7" s="1134" t="s">
        <v>1187</v>
      </c>
      <c r="C7" s="1134" t="s">
        <v>1188</v>
      </c>
      <c r="D7" s="1134" t="s">
        <v>1189</v>
      </c>
      <c r="E7" s="1135" t="s">
        <v>1190</v>
      </c>
      <c r="F7" s="983" t="s">
        <v>547</v>
      </c>
    </row>
    <row r="8" spans="1:14">
      <c r="A8" s="713" t="s">
        <v>1191</v>
      </c>
      <c r="B8" s="1136"/>
      <c r="C8" s="713" t="s">
        <v>1192</v>
      </c>
      <c r="D8" s="1137"/>
      <c r="E8" s="1138">
        <v>1.740267</v>
      </c>
      <c r="F8" s="976">
        <f>SUM(B8*'Emission Factors'!B959)*0.000001</f>
        <v>0</v>
      </c>
    </row>
    <row r="9" spans="1:14">
      <c r="A9" s="713" t="s">
        <v>1191</v>
      </c>
      <c r="B9" s="713" t="s">
        <v>1192</v>
      </c>
      <c r="C9" s="1136"/>
      <c r="D9" s="1137">
        <v>0.85750000000000004</v>
      </c>
      <c r="E9" s="1138"/>
      <c r="F9" s="976">
        <f>SUM(C9*'Emission Factors'!B960)*0.000001</f>
        <v>0</v>
      </c>
    </row>
    <row r="10" spans="1:14">
      <c r="A10" s="713" t="s">
        <v>941</v>
      </c>
      <c r="B10" s="713" t="s">
        <v>1192</v>
      </c>
      <c r="C10" s="1139"/>
      <c r="D10" s="1137">
        <v>3.63</v>
      </c>
      <c r="E10" s="1138"/>
      <c r="F10" s="976">
        <f>SUM(C10*'Emission Factors'!B961)*0.001</f>
        <v>0</v>
      </c>
    </row>
    <row r="11" spans="1:14">
      <c r="A11" s="713" t="s">
        <v>1193</v>
      </c>
      <c r="B11" s="713" t="s">
        <v>1192</v>
      </c>
      <c r="C11" s="1139"/>
      <c r="D11" s="1137">
        <v>5.91</v>
      </c>
      <c r="E11" s="1138"/>
      <c r="F11" s="976">
        <f>SUM(C11*'Emission Factors'!B962)*0.001</f>
        <v>0</v>
      </c>
    </row>
    <row r="12" spans="1:14">
      <c r="A12" s="713" t="s">
        <v>1194</v>
      </c>
      <c r="B12" s="713" t="s">
        <v>1192</v>
      </c>
      <c r="C12" s="1139"/>
      <c r="D12" s="1137">
        <v>2.99</v>
      </c>
      <c r="E12" s="1138"/>
      <c r="F12" s="976">
        <f>SUM(C12*'Emission Factors'!B963)*0.001</f>
        <v>0</v>
      </c>
    </row>
    <row r="13" spans="1:14">
      <c r="A13" s="713" t="s">
        <v>1195</v>
      </c>
      <c r="B13" s="713" t="s">
        <v>1192</v>
      </c>
      <c r="C13" s="1139"/>
      <c r="D13" s="1137">
        <v>8.18</v>
      </c>
      <c r="E13" s="1138"/>
      <c r="F13" s="976">
        <f>SUM(C13*'Emission Factors'!B965)*0.001</f>
        <v>0</v>
      </c>
    </row>
    <row r="14" spans="1:14">
      <c r="A14" s="713" t="s">
        <v>1196</v>
      </c>
      <c r="B14" s="713" t="s">
        <v>1192</v>
      </c>
      <c r="C14" s="1139"/>
      <c r="D14" s="1137">
        <v>8.27</v>
      </c>
      <c r="E14" s="1138"/>
      <c r="F14" s="976">
        <f>SUM(C14*'Emission Factors'!B964)*0.001</f>
        <v>0</v>
      </c>
    </row>
    <row r="15" spans="1:14">
      <c r="A15" s="713" t="s">
        <v>1197</v>
      </c>
      <c r="B15" s="713" t="s">
        <v>1192</v>
      </c>
      <c r="C15" s="1139"/>
      <c r="D15" s="1137">
        <v>2.2799999999999998</v>
      </c>
      <c r="E15" s="1138"/>
      <c r="F15" s="976">
        <f>SUM(C15*'Emission Factors'!B966)*0.001</f>
        <v>0</v>
      </c>
    </row>
    <row r="16" spans="1:14">
      <c r="A16" s="713" t="s">
        <v>1198</v>
      </c>
      <c r="B16" s="1136"/>
      <c r="C16" s="713" t="s">
        <v>1192</v>
      </c>
      <c r="D16" s="1137"/>
      <c r="E16" s="1138">
        <v>3.06</v>
      </c>
      <c r="F16" s="976">
        <f>SUM(B16*'Emission Factors'!B967)*0.001</f>
        <v>0</v>
      </c>
    </row>
    <row r="17" spans="1:7">
      <c r="A17" s="713" t="s">
        <v>548</v>
      </c>
      <c r="B17" s="1136"/>
      <c r="C17" s="713" t="s">
        <v>1192</v>
      </c>
      <c r="D17" s="1137"/>
      <c r="E17" s="1138">
        <v>1.1399999999999999</v>
      </c>
      <c r="F17" s="976">
        <f>SUM(B17*'Emission Factors'!B968)*0.001</f>
        <v>0</v>
      </c>
    </row>
    <row r="18" spans="1:7">
      <c r="A18" s="713" t="s">
        <v>549</v>
      </c>
      <c r="B18" s="1136"/>
      <c r="C18" s="713" t="s">
        <v>1192</v>
      </c>
      <c r="D18" s="1137"/>
      <c r="E18" s="1138">
        <v>1.63</v>
      </c>
      <c r="F18" s="976">
        <f>SUM(B18*'Emission Factors'!B969)*0.001</f>
        <v>0</v>
      </c>
      <c r="G18" s="694" t="s">
        <v>403</v>
      </c>
    </row>
    <row r="19" spans="1:7" ht="16.5" thickBot="1">
      <c r="A19" s="713" t="s">
        <v>550</v>
      </c>
      <c r="B19" s="1136"/>
      <c r="C19" s="713" t="s">
        <v>1192</v>
      </c>
      <c r="D19" s="1137"/>
      <c r="E19" s="1140">
        <v>7.3999999999999996E-2</v>
      </c>
      <c r="F19" s="1141">
        <f>SUM(B19*'Emission Factors'!B970)*0.001</f>
        <v>0</v>
      </c>
    </row>
    <row r="20" spans="1:7" ht="16.5" thickBot="1">
      <c r="E20" s="1142" t="s">
        <v>434</v>
      </c>
      <c r="F20" s="1142">
        <f>SUM(F8:F19)</f>
        <v>0</v>
      </c>
    </row>
  </sheetData>
  <sheetProtection selectLockedCells="1"/>
  <mergeCells count="3">
    <mergeCell ref="I1:N1"/>
    <mergeCell ref="B1:G1"/>
    <mergeCell ref="C6:D6"/>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BC2DE-F939-42F4-BBB7-75793DAAA593}">
  <sheetPr>
    <tabColor rgb="FF009999"/>
  </sheetPr>
  <dimension ref="A1:V30"/>
  <sheetViews>
    <sheetView zoomScale="85" zoomScaleNormal="85" workbookViewId="0">
      <selection activeCell="C38" sqref="C38"/>
    </sheetView>
  </sheetViews>
  <sheetFormatPr baseColWidth="10" defaultColWidth="9.140625" defaultRowHeight="15.75"/>
  <cols>
    <col min="1" max="1" width="47.140625" style="694" customWidth="1"/>
    <col min="2" max="2" width="20.28515625" style="694" customWidth="1"/>
    <col min="3" max="3" width="29.85546875" style="694" customWidth="1"/>
    <col min="4" max="4" width="16.85546875" style="694" customWidth="1"/>
    <col min="5" max="5" width="21.140625" style="694" customWidth="1"/>
    <col min="6" max="6" width="17.85546875" style="694" customWidth="1"/>
    <col min="7" max="7" width="25.140625" style="694" customWidth="1"/>
    <col min="8" max="8" width="15.7109375" style="694" customWidth="1"/>
    <col min="9" max="22" width="15.7109375" style="695" customWidth="1"/>
    <col min="23" max="23" width="15.7109375" style="694" customWidth="1"/>
    <col min="24" max="16384" width="9.140625" style="694"/>
  </cols>
  <sheetData>
    <row r="1" spans="1:22" ht="59.25" customHeight="1" thickBot="1">
      <c r="A1" s="825" t="s">
        <v>1199</v>
      </c>
      <c r="B1" s="2045" t="s">
        <v>1200</v>
      </c>
      <c r="C1" s="2022"/>
      <c r="D1" s="2022"/>
      <c r="E1" s="2022"/>
      <c r="F1" s="2022"/>
      <c r="G1" s="2023"/>
      <c r="J1" s="2030" t="s">
        <v>414</v>
      </c>
      <c r="K1" s="2031"/>
      <c r="L1" s="2031"/>
      <c r="M1" s="2031"/>
      <c r="N1" s="2031"/>
      <c r="O1" s="2032"/>
    </row>
    <row r="2" spans="1:22">
      <c r="B2" s="732"/>
      <c r="J2" s="733" t="s">
        <v>415</v>
      </c>
      <c r="K2" s="734"/>
      <c r="L2" s="735" t="s">
        <v>416</v>
      </c>
      <c r="M2" s="1103"/>
      <c r="N2" s="735" t="s">
        <v>417</v>
      </c>
      <c r="O2" s="1104"/>
    </row>
    <row r="3" spans="1:22">
      <c r="B3" s="732"/>
      <c r="P3" s="712"/>
      <c r="Q3" s="712"/>
      <c r="R3" s="712"/>
      <c r="S3" s="712"/>
      <c r="T3" s="712"/>
      <c r="U3" s="712"/>
    </row>
    <row r="4" spans="1:22" ht="37.5">
      <c r="A4" s="738"/>
      <c r="B4" s="692" t="s">
        <v>553</v>
      </c>
      <c r="F4" s="695"/>
      <c r="G4" s="2129"/>
      <c r="H4" s="2129"/>
      <c r="J4" s="712"/>
      <c r="K4" s="712"/>
      <c r="L4" s="712"/>
      <c r="M4" s="712"/>
      <c r="N4" s="712"/>
      <c r="O4" s="712"/>
      <c r="Q4" s="694"/>
      <c r="R4" s="694"/>
      <c r="S4" s="694"/>
      <c r="T4" s="694"/>
      <c r="U4" s="694"/>
      <c r="V4" s="694"/>
    </row>
    <row r="5" spans="1:22" ht="18.75">
      <c r="A5" s="692" t="s">
        <v>1201</v>
      </c>
      <c r="B5" s="700">
        <f>C15</f>
        <v>0</v>
      </c>
      <c r="E5" s="922"/>
      <c r="F5" s="922"/>
      <c r="G5" s="922"/>
      <c r="H5" s="922"/>
      <c r="J5" s="712"/>
      <c r="K5" s="712"/>
      <c r="L5" s="712"/>
      <c r="M5" s="712"/>
      <c r="N5" s="712"/>
      <c r="O5" s="694"/>
      <c r="P5" s="694"/>
      <c r="Q5" s="694"/>
      <c r="R5" s="694"/>
      <c r="S5" s="694"/>
      <c r="T5" s="694"/>
      <c r="U5" s="694"/>
      <c r="V5" s="694"/>
    </row>
    <row r="6" spans="1:22" ht="18.75">
      <c r="A6" s="692" t="s">
        <v>1202</v>
      </c>
      <c r="B6" s="700">
        <f>C22</f>
        <v>0</v>
      </c>
      <c r="E6" s="922"/>
      <c r="F6" s="922"/>
      <c r="G6" s="922"/>
      <c r="H6" s="922"/>
      <c r="J6" s="712"/>
      <c r="K6" s="712"/>
      <c r="L6" s="712"/>
      <c r="M6" s="712"/>
      <c r="N6" s="712"/>
      <c r="O6" s="694"/>
      <c r="P6" s="694"/>
      <c r="Q6" s="694"/>
      <c r="R6" s="694"/>
      <c r="S6" s="694"/>
      <c r="T6" s="694"/>
      <c r="U6" s="694"/>
      <c r="V6" s="694"/>
    </row>
    <row r="7" spans="1:22" ht="26.25" customHeight="1">
      <c r="A7" s="692" t="s">
        <v>1203</v>
      </c>
      <c r="B7" s="700">
        <f>C28</f>
        <v>0</v>
      </c>
      <c r="E7" s="922"/>
      <c r="F7" s="922"/>
      <c r="G7" s="922"/>
      <c r="H7" s="922"/>
      <c r="J7" s="712"/>
      <c r="K7" s="712"/>
      <c r="L7" s="712"/>
      <c r="M7" s="712"/>
      <c r="N7" s="712"/>
      <c r="O7" s="694"/>
      <c r="P7" s="694"/>
      <c r="Q7" s="694"/>
      <c r="R7" s="694"/>
      <c r="S7" s="694"/>
      <c r="T7" s="694"/>
      <c r="U7" s="694"/>
      <c r="V7" s="694"/>
    </row>
    <row r="8" spans="1:22" ht="26.25" customHeight="1">
      <c r="A8" s="692" t="s">
        <v>424</v>
      </c>
      <c r="B8" s="700">
        <f>SUM(B5:B7)</f>
        <v>0</v>
      </c>
      <c r="E8" s="922"/>
      <c r="F8" s="922"/>
      <c r="G8" s="922"/>
      <c r="H8" s="922"/>
      <c r="J8" s="712"/>
      <c r="K8" s="712"/>
      <c r="L8" s="712"/>
      <c r="M8" s="712"/>
      <c r="N8" s="712"/>
      <c r="O8" s="694"/>
      <c r="P8" s="694"/>
      <c r="Q8" s="694"/>
      <c r="R8" s="694"/>
      <c r="S8" s="694"/>
      <c r="T8" s="694"/>
      <c r="U8" s="694"/>
      <c r="V8" s="694"/>
    </row>
    <row r="9" spans="1:22" ht="15" customHeight="1">
      <c r="A9" s="1143"/>
      <c r="B9" s="1143"/>
      <c r="P9" s="712"/>
      <c r="Q9" s="712"/>
      <c r="R9" s="712"/>
      <c r="S9" s="712"/>
      <c r="T9" s="712"/>
      <c r="U9" s="694"/>
      <c r="V9" s="694"/>
    </row>
    <row r="10" spans="1:22" ht="15.75" customHeight="1">
      <c r="A10" s="920"/>
      <c r="I10" s="694"/>
      <c r="J10" s="694"/>
      <c r="K10" s="694"/>
      <c r="L10" s="694"/>
      <c r="M10" s="694"/>
      <c r="N10" s="694"/>
      <c r="O10" s="694"/>
      <c r="P10" s="694"/>
      <c r="Q10" s="694"/>
      <c r="R10" s="694"/>
      <c r="S10" s="694"/>
      <c r="T10" s="694"/>
      <c r="U10" s="694"/>
      <c r="V10" s="694"/>
    </row>
    <row r="11" spans="1:22" s="743" customFormat="1" ht="36">
      <c r="A11" s="2009" t="s">
        <v>1204</v>
      </c>
      <c r="B11" s="2010"/>
      <c r="C11" s="2010"/>
      <c r="D11" s="2010"/>
      <c r="E11" s="2010"/>
      <c r="F11" s="2010"/>
      <c r="G11" s="2010"/>
    </row>
    <row r="12" spans="1:22">
      <c r="A12" s="920"/>
      <c r="F12" s="1026"/>
      <c r="H12" s="711"/>
      <c r="O12" s="696"/>
      <c r="S12" s="694"/>
      <c r="T12" s="694"/>
      <c r="U12" s="694"/>
      <c r="V12" s="694"/>
    </row>
    <row r="13" spans="1:22" s="743" customFormat="1" ht="24" thickBot="1">
      <c r="A13" s="724"/>
      <c r="C13" s="2058" t="s">
        <v>427</v>
      </c>
      <c r="D13" s="2059"/>
      <c r="F13" s="1106"/>
      <c r="H13" s="926"/>
      <c r="I13" s="1107"/>
      <c r="J13" s="1107"/>
      <c r="K13" s="1107"/>
      <c r="L13" s="1107"/>
      <c r="M13" s="1107"/>
      <c r="N13" s="1107"/>
      <c r="O13" s="1108"/>
      <c r="P13" s="1107"/>
      <c r="Q13" s="1107"/>
      <c r="R13" s="1107"/>
    </row>
    <row r="14" spans="1:22" ht="31.5">
      <c r="A14" s="1134" t="s">
        <v>1205</v>
      </c>
      <c r="B14" s="1134" t="s">
        <v>1206</v>
      </c>
      <c r="C14" s="1144" t="s">
        <v>702</v>
      </c>
      <c r="I14" s="694"/>
      <c r="J14" s="694"/>
      <c r="K14" s="694"/>
      <c r="L14" s="694"/>
      <c r="M14" s="694"/>
      <c r="N14" s="694"/>
      <c r="O14" s="694"/>
      <c r="P14" s="694"/>
      <c r="Q14" s="694"/>
      <c r="R14" s="694"/>
      <c r="S14" s="694"/>
      <c r="T14" s="694"/>
      <c r="U14" s="694"/>
      <c r="V14" s="694"/>
    </row>
    <row r="15" spans="1:22" ht="16.5" thickBot="1">
      <c r="A15" s="963"/>
      <c r="B15" s="985">
        <f>A15*0.029315068</f>
        <v>0</v>
      </c>
      <c r="C15" s="1145">
        <f>B15*'Emission Factors'!$F$1005/1000</f>
        <v>0</v>
      </c>
      <c r="D15" s="694" t="s">
        <v>1207</v>
      </c>
      <c r="I15" s="694"/>
      <c r="J15" s="694"/>
      <c r="K15" s="694"/>
      <c r="L15" s="694"/>
      <c r="M15" s="694"/>
      <c r="N15" s="694"/>
      <c r="O15" s="694"/>
      <c r="P15" s="694"/>
      <c r="Q15" s="694"/>
      <c r="R15" s="694"/>
      <c r="S15" s="694"/>
      <c r="T15" s="694"/>
      <c r="U15" s="694"/>
      <c r="V15" s="694"/>
    </row>
    <row r="16" spans="1:22">
      <c r="A16" s="769" t="s">
        <v>1208</v>
      </c>
      <c r="I16" s="694"/>
      <c r="J16" s="694"/>
      <c r="K16" s="694"/>
      <c r="L16" s="694"/>
      <c r="M16" s="694"/>
      <c r="N16" s="694"/>
      <c r="O16" s="694"/>
      <c r="P16" s="694"/>
      <c r="Q16" s="694"/>
      <c r="R16" s="694"/>
      <c r="S16" s="694"/>
      <c r="T16" s="694"/>
      <c r="U16" s="694"/>
      <c r="V16" s="694"/>
    </row>
    <row r="17" spans="1:22">
      <c r="I17" s="694"/>
      <c r="J17" s="694"/>
      <c r="K17" s="694"/>
      <c r="L17" s="694"/>
      <c r="M17" s="694"/>
      <c r="N17" s="694"/>
      <c r="O17" s="694"/>
      <c r="P17" s="694"/>
      <c r="Q17" s="694"/>
      <c r="R17" s="694"/>
      <c r="S17" s="694"/>
      <c r="T17" s="694"/>
      <c r="U17" s="694"/>
      <c r="V17" s="694"/>
    </row>
    <row r="18" spans="1:22" s="743" customFormat="1" ht="36">
      <c r="A18" s="2009" t="s">
        <v>1209</v>
      </c>
      <c r="B18" s="2010"/>
      <c r="C18" s="2010"/>
      <c r="D18" s="2010"/>
      <c r="E18" s="2010"/>
      <c r="F18" s="2010"/>
      <c r="G18" s="2010"/>
    </row>
    <row r="19" spans="1:22">
      <c r="A19" s="920"/>
      <c r="F19" s="1026"/>
      <c r="H19" s="711"/>
      <c r="O19" s="696"/>
      <c r="S19" s="694"/>
      <c r="T19" s="694"/>
      <c r="U19" s="694"/>
      <c r="V19" s="694"/>
    </row>
    <row r="20" spans="1:22" s="743" customFormat="1" ht="24" thickBot="1">
      <c r="A20" s="724"/>
      <c r="C20" s="2058" t="s">
        <v>427</v>
      </c>
      <c r="D20" s="2059"/>
      <c r="F20" s="1106"/>
      <c r="H20" s="926"/>
      <c r="I20" s="1107"/>
      <c r="J20" s="1107"/>
      <c r="K20" s="1107"/>
      <c r="L20" s="1107"/>
      <c r="M20" s="1107"/>
      <c r="N20" s="1107"/>
      <c r="O20" s="1108"/>
      <c r="P20" s="1107"/>
      <c r="Q20" s="1107"/>
      <c r="R20" s="1107"/>
    </row>
    <row r="21" spans="1:22" ht="31.5">
      <c r="A21" s="1134" t="s">
        <v>1210</v>
      </c>
      <c r="B21" s="1134" t="s">
        <v>1206</v>
      </c>
      <c r="C21" s="1144" t="s">
        <v>702</v>
      </c>
      <c r="F21" s="695"/>
      <c r="I21" s="694"/>
      <c r="J21" s="694"/>
      <c r="K21" s="694"/>
      <c r="L21" s="694"/>
      <c r="M21" s="694"/>
      <c r="N21" s="694"/>
      <c r="O21" s="694"/>
      <c r="P21" s="694"/>
      <c r="Q21" s="694"/>
      <c r="R21" s="694"/>
      <c r="S21" s="694"/>
      <c r="T21" s="694"/>
      <c r="U21" s="694"/>
      <c r="V21" s="694"/>
    </row>
    <row r="22" spans="1:22" ht="16.5" thickBot="1">
      <c r="A22" s="963"/>
      <c r="B22" s="985">
        <f>A22*0.029315068</f>
        <v>0</v>
      </c>
      <c r="C22" s="1145">
        <f>B22*'Emission Factors'!$F$1005/1000</f>
        <v>0</v>
      </c>
      <c r="F22" s="695"/>
      <c r="I22" s="694"/>
      <c r="J22" s="694"/>
      <c r="K22" s="694"/>
      <c r="L22" s="694"/>
      <c r="M22" s="694"/>
      <c r="N22" s="694"/>
      <c r="O22" s="694"/>
      <c r="P22" s="694"/>
      <c r="Q22" s="694"/>
      <c r="R22" s="694"/>
      <c r="S22" s="694"/>
      <c r="T22" s="694"/>
      <c r="U22" s="694"/>
      <c r="V22" s="694"/>
    </row>
    <row r="23" spans="1:22">
      <c r="I23" s="694"/>
      <c r="J23" s="694"/>
      <c r="K23" s="694"/>
      <c r="L23" s="694"/>
      <c r="M23" s="694"/>
      <c r="N23" s="694"/>
      <c r="O23" s="694"/>
      <c r="P23" s="694"/>
      <c r="Q23" s="694"/>
      <c r="R23" s="694"/>
      <c r="S23" s="694"/>
      <c r="T23" s="694"/>
      <c r="U23" s="694"/>
      <c r="V23" s="694"/>
    </row>
    <row r="24" spans="1:22" s="743" customFormat="1" ht="36">
      <c r="A24" s="2009" t="s">
        <v>1211</v>
      </c>
      <c r="B24" s="2010"/>
      <c r="C24" s="2010"/>
      <c r="D24" s="2010"/>
      <c r="E24" s="2010"/>
      <c r="F24" s="2010"/>
      <c r="G24" s="2010"/>
    </row>
    <row r="25" spans="1:22">
      <c r="A25" s="920"/>
      <c r="F25" s="1026"/>
      <c r="H25" s="711"/>
      <c r="O25" s="696"/>
      <c r="S25" s="694"/>
      <c r="T25" s="694"/>
      <c r="U25" s="694"/>
      <c r="V25" s="694"/>
    </row>
    <row r="26" spans="1:22" s="743" customFormat="1" ht="24" thickBot="1">
      <c r="A26" s="724"/>
      <c r="C26" s="2058" t="s">
        <v>427</v>
      </c>
      <c r="D26" s="2059"/>
      <c r="F26" s="1106"/>
      <c r="H26" s="926"/>
      <c r="I26" s="1107"/>
      <c r="J26" s="1107"/>
      <c r="K26" s="1107"/>
      <c r="L26" s="1107"/>
      <c r="M26" s="1107"/>
      <c r="N26" s="1107"/>
      <c r="O26" s="1108"/>
      <c r="P26" s="1107"/>
      <c r="Q26" s="1107"/>
      <c r="R26" s="1107"/>
    </row>
    <row r="27" spans="1:22" ht="31.5">
      <c r="A27" s="1134" t="s">
        <v>1212</v>
      </c>
      <c r="B27" s="1134" t="s">
        <v>1206</v>
      </c>
      <c r="C27" s="1144" t="s">
        <v>702</v>
      </c>
      <c r="F27" s="695"/>
      <c r="I27" s="694"/>
      <c r="J27" s="694"/>
      <c r="K27" s="694"/>
      <c r="L27" s="694"/>
      <c r="M27" s="694"/>
      <c r="N27" s="694"/>
      <c r="O27" s="694"/>
      <c r="P27" s="694"/>
      <c r="Q27" s="694"/>
      <c r="R27" s="694"/>
      <c r="S27" s="694"/>
      <c r="T27" s="694"/>
      <c r="U27" s="694"/>
      <c r="V27" s="694"/>
    </row>
    <row r="28" spans="1:22" ht="16.5" thickBot="1">
      <c r="A28" s="963"/>
      <c r="B28" s="985">
        <f>A28*0.66</f>
        <v>0</v>
      </c>
      <c r="C28" s="1145">
        <f>B28*'Emission Factors'!$F$1005/1000</f>
        <v>0</v>
      </c>
      <c r="F28" s="695"/>
      <c r="I28" s="694"/>
      <c r="J28" s="694"/>
      <c r="K28" s="694"/>
      <c r="L28" s="694"/>
      <c r="M28" s="694"/>
      <c r="N28" s="694"/>
      <c r="O28" s="694"/>
      <c r="P28" s="694"/>
      <c r="Q28" s="694"/>
      <c r="R28" s="694"/>
      <c r="S28" s="694"/>
      <c r="T28" s="694"/>
      <c r="U28" s="694"/>
      <c r="V28" s="694"/>
    </row>
    <row r="29" spans="1:22">
      <c r="A29" s="769" t="s">
        <v>1213</v>
      </c>
    </row>
    <row r="30" spans="1:22">
      <c r="A30" s="769" t="s">
        <v>1214</v>
      </c>
    </row>
  </sheetData>
  <sheetProtection selectLockedCells="1"/>
  <mergeCells count="9">
    <mergeCell ref="B1:G1"/>
    <mergeCell ref="J1:O1"/>
    <mergeCell ref="G4:H4"/>
    <mergeCell ref="C26:D26"/>
    <mergeCell ref="A11:G11"/>
    <mergeCell ref="A18:G18"/>
    <mergeCell ref="A24:G24"/>
    <mergeCell ref="C13:D13"/>
    <mergeCell ref="C20:D20"/>
  </mergeCells>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FF"/>
  </sheetPr>
  <dimension ref="A1:M82"/>
  <sheetViews>
    <sheetView zoomScaleNormal="100" workbookViewId="0">
      <selection activeCell="A9" sqref="A9:C12"/>
    </sheetView>
  </sheetViews>
  <sheetFormatPr baseColWidth="10" defaultColWidth="8.85546875" defaultRowHeight="15.75"/>
  <cols>
    <col min="1" max="1" width="22" style="694" customWidth="1"/>
    <col min="2" max="6" width="15.7109375" style="694" customWidth="1"/>
    <col min="7" max="7" width="15.7109375" style="711" customWidth="1"/>
    <col min="8" max="8" width="13.140625" style="694" customWidth="1"/>
    <col min="9" max="11" width="15.7109375" style="694" customWidth="1"/>
    <col min="12" max="12" width="12.5703125" style="694" customWidth="1"/>
    <col min="13" max="13" width="11" style="694" bestFit="1" customWidth="1"/>
    <col min="14" max="14" width="8.85546875" style="694"/>
    <col min="15" max="15" width="10.7109375" style="694" bestFit="1" customWidth="1"/>
    <col min="16" max="16384" width="8.85546875" style="694"/>
  </cols>
  <sheetData>
    <row r="1" spans="1:13" ht="36.950000000000003" customHeight="1">
      <c r="A1" s="808" t="s">
        <v>1215</v>
      </c>
      <c r="B1" s="2021" t="s">
        <v>1216</v>
      </c>
      <c r="C1" s="2022"/>
      <c r="D1" s="2022"/>
      <c r="E1" s="2023"/>
      <c r="H1" s="1147" t="s">
        <v>414</v>
      </c>
      <c r="I1" s="1147"/>
      <c r="J1" s="1147"/>
      <c r="K1" s="1147"/>
      <c r="L1" s="1147"/>
      <c r="M1" s="1147"/>
    </row>
    <row r="2" spans="1:13" ht="30.95" customHeight="1">
      <c r="H2" s="733" t="s">
        <v>415</v>
      </c>
      <c r="I2" s="734"/>
      <c r="J2" s="735" t="s">
        <v>416</v>
      </c>
      <c r="K2" s="736"/>
      <c r="L2" s="735" t="s">
        <v>417</v>
      </c>
      <c r="M2" s="737"/>
    </row>
    <row r="3" spans="1:13">
      <c r="G3" s="694"/>
    </row>
    <row r="4" spans="1:13" ht="93.75">
      <c r="A4" s="692" t="s">
        <v>1217</v>
      </c>
      <c r="G4" s="694"/>
    </row>
    <row r="5" spans="1:13">
      <c r="A5" s="700">
        <f>SUM(F9:F19)*-1</f>
        <v>0</v>
      </c>
      <c r="G5" s="694"/>
    </row>
    <row r="6" spans="1:13">
      <c r="G6" s="694"/>
    </row>
    <row r="7" spans="1:13" s="1106" customFormat="1" ht="24" thickBot="1">
      <c r="A7" s="724"/>
      <c r="D7" s="2007" t="s">
        <v>427</v>
      </c>
      <c r="E7" s="2008"/>
      <c r="G7" s="911"/>
    </row>
    <row r="8" spans="1:13" ht="63">
      <c r="A8" s="912" t="s">
        <v>704</v>
      </c>
      <c r="B8" s="748" t="s">
        <v>1218</v>
      </c>
      <c r="C8" s="748" t="s">
        <v>1219</v>
      </c>
      <c r="D8" s="748" t="s">
        <v>1220</v>
      </c>
      <c r="E8" s="796" t="s">
        <v>1221</v>
      </c>
      <c r="F8" s="983" t="s">
        <v>702</v>
      </c>
      <c r="G8" s="694"/>
    </row>
    <row r="9" spans="1:13">
      <c r="A9" s="768"/>
      <c r="B9" s="768"/>
      <c r="C9" s="1407"/>
      <c r="D9" s="739">
        <f>SUM(B9*C9)</f>
        <v>0</v>
      </c>
      <c r="E9" s="1146">
        <f>(D9*(0.15*50))/15</f>
        <v>0</v>
      </c>
      <c r="F9" s="701">
        <f>SUM(E9)*(44/12)</f>
        <v>0</v>
      </c>
      <c r="G9" s="694"/>
    </row>
    <row r="10" spans="1:13">
      <c r="A10" s="768"/>
      <c r="B10" s="768"/>
      <c r="C10" s="1407"/>
      <c r="D10" s="739">
        <f t="shared" ref="D10:D11" si="0">SUM(B10*C10)</f>
        <v>0</v>
      </c>
      <c r="E10" s="1146">
        <f t="shared" ref="E10:E19" si="1">(D10*(0.15*50))/15</f>
        <v>0</v>
      </c>
      <c r="F10" s="701">
        <f t="shared" ref="F10:F11" si="2">SUM(E10)*(44/12)</f>
        <v>0</v>
      </c>
      <c r="G10" s="694"/>
    </row>
    <row r="11" spans="1:13">
      <c r="A11" s="768"/>
      <c r="B11" s="768"/>
      <c r="C11" s="1407"/>
      <c r="D11" s="739">
        <f t="shared" si="0"/>
        <v>0</v>
      </c>
      <c r="E11" s="1146">
        <f t="shared" si="1"/>
        <v>0</v>
      </c>
      <c r="F11" s="701">
        <f t="shared" si="2"/>
        <v>0</v>
      </c>
      <c r="G11" s="694"/>
    </row>
    <row r="12" spans="1:13">
      <c r="A12" s="768"/>
      <c r="B12" s="768"/>
      <c r="C12" s="1407"/>
      <c r="D12" s="739">
        <f t="shared" ref="D12:D19" si="3">SUM(B12*C12)</f>
        <v>0</v>
      </c>
      <c r="E12" s="1146">
        <f t="shared" si="1"/>
        <v>0</v>
      </c>
      <c r="F12" s="701">
        <f t="shared" ref="F12:F19" si="4">SUM(E12)*(44/12)</f>
        <v>0</v>
      </c>
      <c r="G12" s="694"/>
    </row>
    <row r="13" spans="1:13">
      <c r="A13" s="768"/>
      <c r="B13" s="768"/>
      <c r="C13" s="915"/>
      <c r="D13" s="739">
        <f t="shared" si="3"/>
        <v>0</v>
      </c>
      <c r="E13" s="1146">
        <f t="shared" si="1"/>
        <v>0</v>
      </c>
      <c r="F13" s="701">
        <f t="shared" si="4"/>
        <v>0</v>
      </c>
      <c r="G13" s="694"/>
    </row>
    <row r="14" spans="1:13">
      <c r="A14" s="768"/>
      <c r="B14" s="768"/>
      <c r="C14" s="915"/>
      <c r="D14" s="739">
        <f t="shared" si="3"/>
        <v>0</v>
      </c>
      <c r="E14" s="1146">
        <f t="shared" si="1"/>
        <v>0</v>
      </c>
      <c r="F14" s="701">
        <f t="shared" si="4"/>
        <v>0</v>
      </c>
      <c r="G14" s="694"/>
    </row>
    <row r="15" spans="1:13">
      <c r="A15" s="768"/>
      <c r="B15" s="768"/>
      <c r="C15" s="915"/>
      <c r="D15" s="739">
        <f t="shared" si="3"/>
        <v>0</v>
      </c>
      <c r="E15" s="1146">
        <f t="shared" si="1"/>
        <v>0</v>
      </c>
      <c r="F15" s="701">
        <f t="shared" si="4"/>
        <v>0</v>
      </c>
      <c r="G15" s="694"/>
    </row>
    <row r="16" spans="1:13">
      <c r="A16" s="768"/>
      <c r="B16" s="768"/>
      <c r="C16" s="915"/>
      <c r="D16" s="739">
        <f t="shared" si="3"/>
        <v>0</v>
      </c>
      <c r="E16" s="1146">
        <f t="shared" si="1"/>
        <v>0</v>
      </c>
      <c r="F16" s="701">
        <f t="shared" si="4"/>
        <v>0</v>
      </c>
      <c r="G16" s="694"/>
    </row>
    <row r="17" spans="1:6" s="694" customFormat="1">
      <c r="A17" s="768"/>
      <c r="B17" s="768"/>
      <c r="C17" s="915"/>
      <c r="D17" s="739">
        <f t="shared" si="3"/>
        <v>0</v>
      </c>
      <c r="E17" s="1146">
        <f t="shared" si="1"/>
        <v>0</v>
      </c>
      <c r="F17" s="701">
        <f t="shared" si="4"/>
        <v>0</v>
      </c>
    </row>
    <row r="18" spans="1:6" s="694" customFormat="1">
      <c r="A18" s="768"/>
      <c r="B18" s="768"/>
      <c r="C18" s="915"/>
      <c r="D18" s="739">
        <f t="shared" si="3"/>
        <v>0</v>
      </c>
      <c r="E18" s="1146">
        <f t="shared" si="1"/>
        <v>0</v>
      </c>
      <c r="F18" s="701">
        <f t="shared" si="4"/>
        <v>0</v>
      </c>
    </row>
    <row r="19" spans="1:6" s="694" customFormat="1" ht="16.5" thickBot="1">
      <c r="A19" s="768"/>
      <c r="B19" s="768"/>
      <c r="C19" s="915"/>
      <c r="D19" s="739">
        <f t="shared" si="3"/>
        <v>0</v>
      </c>
      <c r="E19" s="1146">
        <f t="shared" si="1"/>
        <v>0</v>
      </c>
      <c r="F19" s="1120">
        <f t="shared" si="4"/>
        <v>0</v>
      </c>
    </row>
    <row r="20" spans="1:6" s="694" customFormat="1">
      <c r="E20" s="920"/>
      <c r="F20" s="711"/>
    </row>
    <row r="21" spans="1:6" s="694" customFormat="1">
      <c r="F21" s="711"/>
    </row>
    <row r="22" spans="1:6" s="694" customFormat="1">
      <c r="F22" s="711"/>
    </row>
    <row r="23" spans="1:6" s="694" customFormat="1">
      <c r="F23" s="711"/>
    </row>
    <row r="24" spans="1:6" s="694" customFormat="1">
      <c r="F24" s="711"/>
    </row>
    <row r="25" spans="1:6" s="694" customFormat="1">
      <c r="F25" s="711"/>
    </row>
    <row r="26" spans="1:6" s="694" customFormat="1">
      <c r="F26" s="711"/>
    </row>
    <row r="27" spans="1:6" s="694" customFormat="1">
      <c r="F27" s="711"/>
    </row>
    <row r="28" spans="1:6" s="694" customFormat="1">
      <c r="F28" s="711"/>
    </row>
    <row r="29" spans="1:6" s="694" customFormat="1">
      <c r="F29" s="711"/>
    </row>
    <row r="30" spans="1:6" s="694" customFormat="1">
      <c r="F30" s="711"/>
    </row>
    <row r="31" spans="1:6" s="694" customFormat="1">
      <c r="F31" s="711"/>
    </row>
    <row r="32" spans="1:6" s="694" customFormat="1">
      <c r="F32" s="711"/>
    </row>
    <row r="33" spans="6:6" s="694" customFormat="1">
      <c r="F33" s="711"/>
    </row>
    <row r="34" spans="6:6" s="694" customFormat="1">
      <c r="F34" s="711"/>
    </row>
    <row r="35" spans="6:6" s="694" customFormat="1">
      <c r="F35" s="711"/>
    </row>
    <row r="36" spans="6:6" s="694" customFormat="1">
      <c r="F36" s="711"/>
    </row>
    <row r="37" spans="6:6" s="694" customFormat="1">
      <c r="F37" s="711"/>
    </row>
    <row r="38" spans="6:6" s="694" customFormat="1">
      <c r="F38" s="711"/>
    </row>
    <row r="39" spans="6:6" s="694" customFormat="1">
      <c r="F39" s="711"/>
    </row>
    <row r="40" spans="6:6" s="694" customFormat="1">
      <c r="F40" s="711"/>
    </row>
    <row r="41" spans="6:6" s="694" customFormat="1">
      <c r="F41" s="711"/>
    </row>
    <row r="42" spans="6:6" s="694" customFormat="1">
      <c r="F42" s="711"/>
    </row>
    <row r="43" spans="6:6" s="694" customFormat="1">
      <c r="F43" s="711"/>
    </row>
    <row r="44" spans="6:6" s="694" customFormat="1">
      <c r="F44" s="711"/>
    </row>
    <row r="45" spans="6:6" s="694" customFormat="1">
      <c r="F45" s="711"/>
    </row>
    <row r="46" spans="6:6" s="694" customFormat="1">
      <c r="F46" s="711"/>
    </row>
    <row r="47" spans="6:6" s="694" customFormat="1">
      <c r="F47" s="711"/>
    </row>
    <row r="48" spans="6:6" s="694" customFormat="1">
      <c r="F48" s="711"/>
    </row>
    <row r="49" spans="6:6" s="694" customFormat="1">
      <c r="F49" s="711"/>
    </row>
    <row r="50" spans="6:6" s="694" customFormat="1">
      <c r="F50" s="711"/>
    </row>
    <row r="51" spans="6:6" s="694" customFormat="1">
      <c r="F51" s="711"/>
    </row>
    <row r="52" spans="6:6" s="694" customFormat="1">
      <c r="F52" s="711"/>
    </row>
    <row r="53" spans="6:6" s="694" customFormat="1">
      <c r="F53" s="711"/>
    </row>
    <row r="54" spans="6:6" s="694" customFormat="1">
      <c r="F54" s="711"/>
    </row>
    <row r="55" spans="6:6" s="694" customFormat="1">
      <c r="F55" s="711"/>
    </row>
    <row r="56" spans="6:6" s="694" customFormat="1">
      <c r="F56" s="711"/>
    </row>
    <row r="57" spans="6:6" s="694" customFormat="1">
      <c r="F57" s="711"/>
    </row>
    <row r="58" spans="6:6" s="694" customFormat="1">
      <c r="F58" s="711"/>
    </row>
    <row r="59" spans="6:6" s="694" customFormat="1">
      <c r="F59" s="711"/>
    </row>
    <row r="60" spans="6:6" s="694" customFormat="1">
      <c r="F60" s="711"/>
    </row>
    <row r="61" spans="6:6" s="694" customFormat="1">
      <c r="F61" s="711"/>
    </row>
    <row r="62" spans="6:6" s="694" customFormat="1">
      <c r="F62" s="711"/>
    </row>
    <row r="63" spans="6:6" s="694" customFormat="1">
      <c r="F63" s="711"/>
    </row>
    <row r="64" spans="6:6" s="694" customFormat="1">
      <c r="F64" s="711"/>
    </row>
    <row r="65" spans="6:6" s="694" customFormat="1">
      <c r="F65" s="711"/>
    </row>
    <row r="66" spans="6:6" s="694" customFormat="1">
      <c r="F66" s="711"/>
    </row>
    <row r="67" spans="6:6" s="694" customFormat="1">
      <c r="F67" s="711"/>
    </row>
    <row r="68" spans="6:6" s="694" customFormat="1">
      <c r="F68" s="711"/>
    </row>
    <row r="69" spans="6:6" s="694" customFormat="1">
      <c r="F69" s="711"/>
    </row>
    <row r="70" spans="6:6" s="694" customFormat="1">
      <c r="F70" s="711"/>
    </row>
    <row r="71" spans="6:6" s="694" customFormat="1">
      <c r="F71" s="711"/>
    </row>
    <row r="72" spans="6:6" s="694" customFormat="1">
      <c r="F72" s="711"/>
    </row>
    <row r="73" spans="6:6" s="694" customFormat="1">
      <c r="F73" s="711"/>
    </row>
    <row r="74" spans="6:6" s="694" customFormat="1">
      <c r="F74" s="711"/>
    </row>
    <row r="75" spans="6:6" s="694" customFormat="1">
      <c r="F75" s="711"/>
    </row>
    <row r="76" spans="6:6" s="694" customFormat="1">
      <c r="F76" s="711"/>
    </row>
    <row r="77" spans="6:6" s="694" customFormat="1">
      <c r="F77" s="711"/>
    </row>
    <row r="78" spans="6:6" s="694" customFormat="1">
      <c r="F78" s="711"/>
    </row>
    <row r="79" spans="6:6" s="694" customFormat="1">
      <c r="F79" s="711"/>
    </row>
    <row r="80" spans="6:6" s="694" customFormat="1">
      <c r="F80" s="711"/>
    </row>
    <row r="81" spans="6:6" s="694" customFormat="1">
      <c r="F81" s="711"/>
    </row>
    <row r="82" spans="6:6" s="694" customFormat="1">
      <c r="F82" s="711"/>
    </row>
  </sheetData>
  <sheetProtection selectLockedCells="1"/>
  <mergeCells count="2">
    <mergeCell ref="B1:E1"/>
    <mergeCell ref="D7:E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FF"/>
  </sheetPr>
  <dimension ref="A1:S29"/>
  <sheetViews>
    <sheetView topLeftCell="A21" zoomScale="70" zoomScaleNormal="70" workbookViewId="0">
      <selection activeCell="L8" sqref="L8"/>
    </sheetView>
  </sheetViews>
  <sheetFormatPr baseColWidth="10" defaultColWidth="8.85546875" defaultRowHeight="15"/>
  <cols>
    <col min="1" max="1" width="20" style="765" customWidth="1"/>
    <col min="2" max="2" width="19" style="765" customWidth="1"/>
    <col min="3" max="3" width="14.42578125" style="765" customWidth="1"/>
    <col min="4" max="18" width="15.7109375" style="765" customWidth="1"/>
    <col min="19" max="16384" width="8.85546875" style="765"/>
  </cols>
  <sheetData>
    <row r="1" spans="1:19" ht="37.5" customHeight="1" thickBot="1">
      <c r="A1" s="825" t="s">
        <v>1222</v>
      </c>
      <c r="B1" s="2116" t="s">
        <v>1223</v>
      </c>
      <c r="C1" s="2111"/>
      <c r="D1" s="2111"/>
      <c r="E1" s="2112"/>
      <c r="J1" s="2001" t="s">
        <v>414</v>
      </c>
      <c r="K1" s="2002"/>
      <c r="L1" s="2002"/>
      <c r="M1" s="2002"/>
      <c r="N1" s="2002"/>
      <c r="O1" s="2003"/>
    </row>
    <row r="2" spans="1:19">
      <c r="J2" s="906" t="s">
        <v>415</v>
      </c>
      <c r="K2" s="907"/>
      <c r="L2" s="908" t="s">
        <v>416</v>
      </c>
      <c r="M2" s="909"/>
      <c r="N2" s="908" t="s">
        <v>417</v>
      </c>
      <c r="O2" s="910"/>
    </row>
    <row r="3" spans="1:19" ht="37.5">
      <c r="A3" s="885"/>
      <c r="B3" s="692" t="s">
        <v>553</v>
      </c>
      <c r="N3" s="1088"/>
      <c r="O3" s="1089"/>
      <c r="P3" s="1088"/>
      <c r="Q3" s="1092"/>
      <c r="R3" s="1088"/>
      <c r="S3" s="1092"/>
    </row>
    <row r="4" spans="1:19" ht="75">
      <c r="A4" s="692" t="s">
        <v>1224</v>
      </c>
      <c r="B4" s="886">
        <f>SUM(I8:I29)</f>
        <v>0</v>
      </c>
      <c r="N4" s="1088"/>
      <c r="O4" s="1089"/>
      <c r="P4" s="1088"/>
      <c r="Q4" s="1092"/>
      <c r="R4" s="1088"/>
      <c r="S4" s="1092"/>
    </row>
    <row r="6" spans="1:19" s="743" customFormat="1" ht="24" thickBot="1">
      <c r="A6" s="724"/>
      <c r="E6" s="2007" t="s">
        <v>427</v>
      </c>
      <c r="F6" s="2008"/>
      <c r="N6" s="759"/>
      <c r="O6" s="759"/>
      <c r="P6" s="759"/>
      <c r="Q6" s="675"/>
      <c r="R6" s="759"/>
      <c r="S6" s="675"/>
    </row>
    <row r="7" spans="1:19" s="1128" customFormat="1" ht="48" customHeight="1">
      <c r="A7" s="912" t="s">
        <v>1225</v>
      </c>
      <c r="B7" s="912" t="s">
        <v>1226</v>
      </c>
      <c r="C7" s="912" t="s">
        <v>1227</v>
      </c>
      <c r="D7" s="912" t="s">
        <v>1228</v>
      </c>
      <c r="E7" s="912" t="s">
        <v>1229</v>
      </c>
      <c r="F7" s="912" t="s">
        <v>1230</v>
      </c>
      <c r="G7" s="912" t="s">
        <v>1231</v>
      </c>
      <c r="H7" s="1039" t="s">
        <v>1232</v>
      </c>
      <c r="I7" s="913" t="s">
        <v>702</v>
      </c>
    </row>
    <row r="8" spans="1:19" ht="34.5" customHeight="1">
      <c r="A8" s="1109"/>
      <c r="B8" s="1109"/>
      <c r="C8" s="1109"/>
      <c r="D8" s="1109"/>
      <c r="E8" s="739">
        <f>SUM((B8/3.78541)*8.34)</f>
        <v>0</v>
      </c>
      <c r="F8" s="739">
        <f>SUM(E8*0.0005)</f>
        <v>0</v>
      </c>
      <c r="G8" s="739">
        <f>C8-D8</f>
        <v>0</v>
      </c>
      <c r="H8" s="1146">
        <f>SUM(G8/100)*F8*0.907</f>
        <v>0</v>
      </c>
      <c r="I8" s="701">
        <f>H8*0.48857</f>
        <v>0</v>
      </c>
    </row>
    <row r="9" spans="1:19" ht="32.1" customHeight="1">
      <c r="A9" s="1109"/>
      <c r="B9" s="1109"/>
      <c r="C9" s="1109"/>
      <c r="D9" s="1109"/>
      <c r="E9" s="739">
        <f t="shared" ref="E9:E29" si="0">SUM((B9/3.78541)*8.34)</f>
        <v>0</v>
      </c>
      <c r="F9" s="739">
        <f t="shared" ref="F9:F29" si="1">SUM(E9*0.0005)</f>
        <v>0</v>
      </c>
      <c r="G9" s="739">
        <f t="shared" ref="G9:G29" si="2">C9-D9</f>
        <v>0</v>
      </c>
      <c r="H9" s="1146">
        <f t="shared" ref="H9:H29" si="3">SUM(G9/100)*F9*0.907</f>
        <v>0</v>
      </c>
      <c r="I9" s="701">
        <f t="shared" ref="I9:I28" si="4">H9*0.48857</f>
        <v>0</v>
      </c>
    </row>
    <row r="10" spans="1:19" ht="32.1" customHeight="1">
      <c r="A10" s="1109"/>
      <c r="B10" s="1109"/>
      <c r="C10" s="1109"/>
      <c r="D10" s="1109"/>
      <c r="E10" s="739">
        <f t="shared" si="0"/>
        <v>0</v>
      </c>
      <c r="F10" s="739">
        <f t="shared" si="1"/>
        <v>0</v>
      </c>
      <c r="G10" s="739">
        <f t="shared" si="2"/>
        <v>0</v>
      </c>
      <c r="H10" s="1146">
        <f t="shared" si="3"/>
        <v>0</v>
      </c>
      <c r="I10" s="701">
        <f t="shared" si="4"/>
        <v>0</v>
      </c>
    </row>
    <row r="11" spans="1:19" ht="32.1" customHeight="1">
      <c r="A11" s="1109"/>
      <c r="B11" s="1109"/>
      <c r="C11" s="1109"/>
      <c r="D11" s="1109"/>
      <c r="E11" s="739">
        <f t="shared" si="0"/>
        <v>0</v>
      </c>
      <c r="F11" s="739">
        <f t="shared" si="1"/>
        <v>0</v>
      </c>
      <c r="G11" s="739">
        <f t="shared" si="2"/>
        <v>0</v>
      </c>
      <c r="H11" s="1146">
        <f t="shared" si="3"/>
        <v>0</v>
      </c>
      <c r="I11" s="701">
        <f t="shared" si="4"/>
        <v>0</v>
      </c>
    </row>
    <row r="12" spans="1:19" ht="32.1" customHeight="1">
      <c r="A12" s="1109"/>
      <c r="B12" s="1109"/>
      <c r="C12" s="1109"/>
      <c r="D12" s="1109"/>
      <c r="E12" s="739">
        <f t="shared" si="0"/>
        <v>0</v>
      </c>
      <c r="F12" s="739">
        <f t="shared" si="1"/>
        <v>0</v>
      </c>
      <c r="G12" s="739">
        <f t="shared" si="2"/>
        <v>0</v>
      </c>
      <c r="H12" s="1146">
        <f t="shared" si="3"/>
        <v>0</v>
      </c>
      <c r="I12" s="701">
        <f t="shared" si="4"/>
        <v>0</v>
      </c>
    </row>
    <row r="13" spans="1:19" ht="32.1" customHeight="1">
      <c r="A13" s="1109"/>
      <c r="B13" s="1109"/>
      <c r="C13" s="1109"/>
      <c r="D13" s="1109"/>
      <c r="E13" s="739">
        <f t="shared" si="0"/>
        <v>0</v>
      </c>
      <c r="F13" s="739">
        <f t="shared" si="1"/>
        <v>0</v>
      </c>
      <c r="G13" s="739">
        <f t="shared" si="2"/>
        <v>0</v>
      </c>
      <c r="H13" s="1146">
        <f t="shared" si="3"/>
        <v>0</v>
      </c>
      <c r="I13" s="701">
        <f t="shared" si="4"/>
        <v>0</v>
      </c>
    </row>
    <row r="14" spans="1:19" ht="32.1" customHeight="1">
      <c r="A14" s="1109"/>
      <c r="B14" s="1109"/>
      <c r="C14" s="1109"/>
      <c r="D14" s="1109"/>
      <c r="E14" s="739">
        <f t="shared" si="0"/>
        <v>0</v>
      </c>
      <c r="F14" s="739">
        <f t="shared" si="1"/>
        <v>0</v>
      </c>
      <c r="G14" s="739">
        <f t="shared" si="2"/>
        <v>0</v>
      </c>
      <c r="H14" s="1146">
        <f t="shared" si="3"/>
        <v>0</v>
      </c>
      <c r="I14" s="701">
        <f t="shared" si="4"/>
        <v>0</v>
      </c>
    </row>
    <row r="15" spans="1:19" ht="32.1" customHeight="1">
      <c r="A15" s="1109"/>
      <c r="B15" s="1109"/>
      <c r="C15" s="1109"/>
      <c r="D15" s="1109"/>
      <c r="E15" s="739">
        <f t="shared" si="0"/>
        <v>0</v>
      </c>
      <c r="F15" s="739">
        <f t="shared" si="1"/>
        <v>0</v>
      </c>
      <c r="G15" s="739">
        <f t="shared" si="2"/>
        <v>0</v>
      </c>
      <c r="H15" s="1146">
        <f t="shared" si="3"/>
        <v>0</v>
      </c>
      <c r="I15" s="701">
        <f t="shared" si="4"/>
        <v>0</v>
      </c>
    </row>
    <row r="16" spans="1:19" ht="32.1" customHeight="1">
      <c r="A16" s="1109"/>
      <c r="B16" s="1109"/>
      <c r="C16" s="1109"/>
      <c r="D16" s="1109"/>
      <c r="E16" s="739">
        <f t="shared" si="0"/>
        <v>0</v>
      </c>
      <c r="F16" s="739">
        <f t="shared" si="1"/>
        <v>0</v>
      </c>
      <c r="G16" s="739">
        <f t="shared" si="2"/>
        <v>0</v>
      </c>
      <c r="H16" s="1146">
        <f t="shared" si="3"/>
        <v>0</v>
      </c>
      <c r="I16" s="701">
        <f t="shared" si="4"/>
        <v>0</v>
      </c>
    </row>
    <row r="17" spans="1:9" ht="32.1" customHeight="1">
      <c r="A17" s="1109"/>
      <c r="B17" s="1109"/>
      <c r="C17" s="1109"/>
      <c r="D17" s="1109"/>
      <c r="E17" s="739">
        <f t="shared" si="0"/>
        <v>0</v>
      </c>
      <c r="F17" s="739">
        <f t="shared" si="1"/>
        <v>0</v>
      </c>
      <c r="G17" s="739">
        <f t="shared" si="2"/>
        <v>0</v>
      </c>
      <c r="H17" s="1146">
        <f t="shared" si="3"/>
        <v>0</v>
      </c>
      <c r="I17" s="701">
        <f t="shared" si="4"/>
        <v>0</v>
      </c>
    </row>
    <row r="18" spans="1:9" ht="32.1" customHeight="1">
      <c r="A18" s="1109"/>
      <c r="B18" s="1109"/>
      <c r="C18" s="1109"/>
      <c r="D18" s="1109"/>
      <c r="E18" s="739">
        <f t="shared" si="0"/>
        <v>0</v>
      </c>
      <c r="F18" s="739">
        <f t="shared" si="1"/>
        <v>0</v>
      </c>
      <c r="G18" s="739">
        <f t="shared" si="2"/>
        <v>0</v>
      </c>
      <c r="H18" s="1146">
        <f t="shared" si="3"/>
        <v>0</v>
      </c>
      <c r="I18" s="701">
        <f t="shared" si="4"/>
        <v>0</v>
      </c>
    </row>
    <row r="19" spans="1:9" ht="32.1" customHeight="1">
      <c r="A19" s="1109"/>
      <c r="B19" s="1109"/>
      <c r="C19" s="1109"/>
      <c r="D19" s="1109"/>
      <c r="E19" s="739">
        <f t="shared" si="0"/>
        <v>0</v>
      </c>
      <c r="F19" s="739">
        <f t="shared" si="1"/>
        <v>0</v>
      </c>
      <c r="G19" s="739">
        <f t="shared" si="2"/>
        <v>0</v>
      </c>
      <c r="H19" s="1146">
        <f t="shared" si="3"/>
        <v>0</v>
      </c>
      <c r="I19" s="701">
        <f t="shared" si="4"/>
        <v>0</v>
      </c>
    </row>
    <row r="20" spans="1:9" ht="32.1" customHeight="1">
      <c r="A20" s="1109"/>
      <c r="B20" s="1109"/>
      <c r="C20" s="1109"/>
      <c r="D20" s="1109"/>
      <c r="E20" s="739">
        <f t="shared" si="0"/>
        <v>0</v>
      </c>
      <c r="F20" s="739">
        <f t="shared" si="1"/>
        <v>0</v>
      </c>
      <c r="G20" s="739">
        <f t="shared" si="2"/>
        <v>0</v>
      </c>
      <c r="H20" s="1146">
        <f t="shared" si="3"/>
        <v>0</v>
      </c>
      <c r="I20" s="701">
        <f t="shared" si="4"/>
        <v>0</v>
      </c>
    </row>
    <row r="21" spans="1:9" ht="32.1" customHeight="1">
      <c r="A21" s="1109"/>
      <c r="B21" s="1109"/>
      <c r="C21" s="1109"/>
      <c r="D21" s="1109"/>
      <c r="E21" s="739">
        <f t="shared" si="0"/>
        <v>0</v>
      </c>
      <c r="F21" s="739">
        <f t="shared" si="1"/>
        <v>0</v>
      </c>
      <c r="G21" s="739">
        <f t="shared" si="2"/>
        <v>0</v>
      </c>
      <c r="H21" s="1146">
        <f t="shared" si="3"/>
        <v>0</v>
      </c>
      <c r="I21" s="701">
        <f t="shared" si="4"/>
        <v>0</v>
      </c>
    </row>
    <row r="22" spans="1:9" ht="32.1" customHeight="1">
      <c r="A22" s="1109"/>
      <c r="B22" s="1109"/>
      <c r="C22" s="1109"/>
      <c r="D22" s="1109"/>
      <c r="E22" s="739">
        <f t="shared" si="0"/>
        <v>0</v>
      </c>
      <c r="F22" s="739">
        <f t="shared" si="1"/>
        <v>0</v>
      </c>
      <c r="G22" s="739">
        <f t="shared" si="2"/>
        <v>0</v>
      </c>
      <c r="H22" s="1146">
        <f t="shared" si="3"/>
        <v>0</v>
      </c>
      <c r="I22" s="701">
        <f t="shared" si="4"/>
        <v>0</v>
      </c>
    </row>
    <row r="23" spans="1:9" ht="32.1" customHeight="1">
      <c r="A23" s="1109"/>
      <c r="B23" s="1109"/>
      <c r="C23" s="1109"/>
      <c r="D23" s="1109"/>
      <c r="E23" s="739">
        <f t="shared" si="0"/>
        <v>0</v>
      </c>
      <c r="F23" s="739">
        <f t="shared" si="1"/>
        <v>0</v>
      </c>
      <c r="G23" s="739">
        <f t="shared" si="2"/>
        <v>0</v>
      </c>
      <c r="H23" s="1146">
        <f t="shared" si="3"/>
        <v>0</v>
      </c>
      <c r="I23" s="701">
        <f t="shared" si="4"/>
        <v>0</v>
      </c>
    </row>
    <row r="24" spans="1:9" ht="32.1" customHeight="1">
      <c r="A24" s="1109"/>
      <c r="B24" s="1109"/>
      <c r="C24" s="1109"/>
      <c r="D24" s="1109"/>
      <c r="E24" s="739">
        <f t="shared" si="0"/>
        <v>0</v>
      </c>
      <c r="F24" s="739">
        <f t="shared" si="1"/>
        <v>0</v>
      </c>
      <c r="G24" s="739">
        <f t="shared" si="2"/>
        <v>0</v>
      </c>
      <c r="H24" s="1146">
        <f t="shared" si="3"/>
        <v>0</v>
      </c>
      <c r="I24" s="701">
        <f t="shared" si="4"/>
        <v>0</v>
      </c>
    </row>
    <row r="25" spans="1:9" ht="32.1" customHeight="1">
      <c r="A25" s="1109"/>
      <c r="B25" s="1109"/>
      <c r="C25" s="1109"/>
      <c r="D25" s="1109"/>
      <c r="E25" s="739">
        <f t="shared" si="0"/>
        <v>0</v>
      </c>
      <c r="F25" s="739">
        <f t="shared" si="1"/>
        <v>0</v>
      </c>
      <c r="G25" s="739">
        <f t="shared" si="2"/>
        <v>0</v>
      </c>
      <c r="H25" s="1146">
        <f t="shared" si="3"/>
        <v>0</v>
      </c>
      <c r="I25" s="701">
        <f t="shared" si="4"/>
        <v>0</v>
      </c>
    </row>
    <row r="26" spans="1:9" ht="32.1" customHeight="1">
      <c r="A26" s="1109"/>
      <c r="B26" s="1109"/>
      <c r="C26" s="1109"/>
      <c r="D26" s="1109"/>
      <c r="E26" s="739">
        <f t="shared" si="0"/>
        <v>0</v>
      </c>
      <c r="F26" s="739">
        <f t="shared" si="1"/>
        <v>0</v>
      </c>
      <c r="G26" s="739">
        <f t="shared" si="2"/>
        <v>0</v>
      </c>
      <c r="H26" s="1146">
        <f t="shared" si="3"/>
        <v>0</v>
      </c>
      <c r="I26" s="701">
        <f t="shared" si="4"/>
        <v>0</v>
      </c>
    </row>
    <row r="27" spans="1:9" ht="32.1" customHeight="1">
      <c r="A27" s="1109"/>
      <c r="B27" s="1109"/>
      <c r="C27" s="1109"/>
      <c r="D27" s="1109"/>
      <c r="E27" s="739">
        <f t="shared" si="0"/>
        <v>0</v>
      </c>
      <c r="F27" s="739">
        <f t="shared" si="1"/>
        <v>0</v>
      </c>
      <c r="G27" s="739">
        <f t="shared" si="2"/>
        <v>0</v>
      </c>
      <c r="H27" s="1146">
        <f t="shared" si="3"/>
        <v>0</v>
      </c>
      <c r="I27" s="701">
        <f t="shared" si="4"/>
        <v>0</v>
      </c>
    </row>
    <row r="28" spans="1:9" ht="32.1" customHeight="1">
      <c r="A28" s="1109"/>
      <c r="B28" s="1109"/>
      <c r="C28" s="1109"/>
      <c r="D28" s="1109"/>
      <c r="E28" s="739">
        <f t="shared" si="0"/>
        <v>0</v>
      </c>
      <c r="F28" s="739">
        <f t="shared" si="1"/>
        <v>0</v>
      </c>
      <c r="G28" s="739">
        <f t="shared" si="2"/>
        <v>0</v>
      </c>
      <c r="H28" s="1146">
        <f t="shared" si="3"/>
        <v>0</v>
      </c>
      <c r="I28" s="701">
        <f t="shared" si="4"/>
        <v>0</v>
      </c>
    </row>
    <row r="29" spans="1:9" ht="32.1" customHeight="1" thickBot="1">
      <c r="A29" s="1109"/>
      <c r="B29" s="1109"/>
      <c r="C29" s="1109"/>
      <c r="D29" s="1109"/>
      <c r="E29" s="739">
        <f t="shared" si="0"/>
        <v>0</v>
      </c>
      <c r="F29" s="739">
        <f t="shared" si="1"/>
        <v>0</v>
      </c>
      <c r="G29" s="739">
        <f t="shared" si="2"/>
        <v>0</v>
      </c>
      <c r="H29" s="1146">
        <f t="shared" si="3"/>
        <v>0</v>
      </c>
      <c r="I29" s="1120">
        <f>H29*0.48857</f>
        <v>0</v>
      </c>
    </row>
  </sheetData>
  <sheetProtection selectLockedCells="1"/>
  <mergeCells count="3">
    <mergeCell ref="B1:E1"/>
    <mergeCell ref="J1:O1"/>
    <mergeCell ref="E6:F6"/>
  </mergeCells>
  <pageMargins left="0.7" right="0.7" top="0.75" bottom="0.75" header="0.3" footer="0.3"/>
  <pageSetup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FF"/>
  </sheetPr>
  <dimension ref="A1:Q20"/>
  <sheetViews>
    <sheetView topLeftCell="A4" zoomScale="85" zoomScaleNormal="85" workbookViewId="0">
      <selection activeCell="C15" sqref="C15"/>
    </sheetView>
  </sheetViews>
  <sheetFormatPr baseColWidth="10" defaultColWidth="8.85546875" defaultRowHeight="15.75"/>
  <cols>
    <col min="1" max="1" width="23" style="809" customWidth="1"/>
    <col min="2" max="2" width="19.140625" style="809" bestFit="1" customWidth="1"/>
    <col min="3" max="3" width="23.42578125" style="809" bestFit="1" customWidth="1"/>
    <col min="4" max="5" width="18.140625" style="809" customWidth="1"/>
    <col min="6" max="6" width="18.140625" style="694" customWidth="1"/>
    <col min="7" max="7" width="18.140625" style="711" customWidth="1"/>
    <col min="8" max="15" width="18.140625" style="809" customWidth="1"/>
    <col min="16" max="16" width="15.7109375" style="694" customWidth="1"/>
    <col min="17" max="17" width="15.7109375" style="920" customWidth="1"/>
    <col min="18" max="22" width="15.7109375" style="694" customWidth="1"/>
    <col min="23" max="16384" width="8.85546875" style="694"/>
  </cols>
  <sheetData>
    <row r="1" spans="1:17" ht="75" customHeight="1">
      <c r="A1" s="1062" t="s">
        <v>1233</v>
      </c>
      <c r="B1" s="2021" t="s">
        <v>1234</v>
      </c>
      <c r="C1" s="2022"/>
      <c r="D1" s="2022"/>
      <c r="E1" s="2023"/>
      <c r="K1" s="2001" t="s">
        <v>414</v>
      </c>
      <c r="L1" s="2002"/>
      <c r="M1" s="2002"/>
      <c r="N1" s="2002"/>
      <c r="O1" s="2002"/>
      <c r="P1" s="2003"/>
    </row>
    <row r="2" spans="1:17" ht="19.5" customHeight="1">
      <c r="B2" s="2084"/>
      <c r="C2" s="2084"/>
      <c r="D2" s="2084"/>
      <c r="E2" s="2084"/>
      <c r="F2" s="2084"/>
      <c r="G2" s="2084"/>
      <c r="H2" s="2084"/>
      <c r="I2" s="728"/>
      <c r="K2" s="733" t="s">
        <v>415</v>
      </c>
      <c r="L2" s="734"/>
      <c r="M2" s="735" t="s">
        <v>416</v>
      </c>
      <c r="N2" s="736"/>
      <c r="O2" s="735" t="s">
        <v>417</v>
      </c>
      <c r="P2" s="737"/>
    </row>
    <row r="3" spans="1:17" ht="17.25" customHeight="1">
      <c r="B3" s="2084"/>
      <c r="C3" s="2084"/>
      <c r="D3" s="2084"/>
      <c r="E3" s="2084"/>
      <c r="F3" s="2084"/>
      <c r="G3" s="2084"/>
      <c r="H3" s="2084"/>
      <c r="I3" s="728"/>
    </row>
    <row r="4" spans="1:17" ht="105">
      <c r="B4" s="827" t="s">
        <v>1235</v>
      </c>
      <c r="C4" s="827" t="s">
        <v>1236</v>
      </c>
      <c r="D4" s="827" t="s">
        <v>1237</v>
      </c>
      <c r="F4" s="809"/>
      <c r="G4" s="694"/>
      <c r="H4" s="920"/>
      <c r="I4" s="694"/>
      <c r="J4" s="694"/>
      <c r="K4" s="694"/>
      <c r="L4" s="694"/>
      <c r="M4" s="694"/>
      <c r="N4" s="694"/>
      <c r="O4" s="694"/>
      <c r="Q4" s="694"/>
    </row>
    <row r="5" spans="1:17" ht="21">
      <c r="A5" s="827" t="s">
        <v>424</v>
      </c>
      <c r="B5" s="1148">
        <f>SUM(M9:M18)</f>
        <v>0</v>
      </c>
      <c r="C5" s="1149">
        <f>SUM(N9:N18)</f>
        <v>0</v>
      </c>
      <c r="D5" s="1149">
        <f>SUM(O9:O18)</f>
        <v>0</v>
      </c>
      <c r="F5" s="809"/>
      <c r="G5" s="694"/>
      <c r="H5" s="920"/>
      <c r="I5" s="694"/>
      <c r="J5" s="694"/>
      <c r="K5" s="694"/>
      <c r="L5" s="694"/>
      <c r="M5" s="694"/>
      <c r="N5" s="694"/>
      <c r="O5" s="694"/>
      <c r="Q5" s="694"/>
    </row>
    <row r="6" spans="1:17">
      <c r="F6" s="809"/>
      <c r="G6" s="694"/>
      <c r="H6" s="920"/>
      <c r="I6" s="694"/>
      <c r="J6" s="694"/>
      <c r="K6" s="694"/>
      <c r="L6" s="694"/>
      <c r="M6" s="694"/>
      <c r="N6" s="694"/>
      <c r="O6" s="694"/>
      <c r="Q6" s="694"/>
    </row>
    <row r="7" spans="1:17" s="743" customFormat="1" ht="24" thickBot="1">
      <c r="A7" s="911"/>
      <c r="B7" s="911"/>
      <c r="C7" s="911"/>
      <c r="D7" s="911"/>
      <c r="E7" s="2007" t="s">
        <v>427</v>
      </c>
      <c r="F7" s="2008"/>
      <c r="H7" s="724"/>
    </row>
    <row r="8" spans="1:17" s="920" customFormat="1" ht="78.75">
      <c r="A8" s="748" t="s">
        <v>1238</v>
      </c>
      <c r="B8" s="748" t="s">
        <v>1239</v>
      </c>
      <c r="C8" s="748" t="s">
        <v>1240</v>
      </c>
      <c r="D8" s="748" t="s">
        <v>1241</v>
      </c>
      <c r="E8" s="748" t="s">
        <v>1242</v>
      </c>
      <c r="F8" s="748" t="s">
        <v>1243</v>
      </c>
      <c r="G8" s="748" t="s">
        <v>1244</v>
      </c>
      <c r="H8" s="748" t="s">
        <v>1245</v>
      </c>
      <c r="I8" s="748" t="s">
        <v>1246</v>
      </c>
      <c r="J8" s="748" t="s">
        <v>1247</v>
      </c>
      <c r="K8" s="748" t="s">
        <v>1248</v>
      </c>
      <c r="L8" s="796" t="s">
        <v>1249</v>
      </c>
      <c r="M8" s="1150" t="s">
        <v>1235</v>
      </c>
      <c r="N8" s="1151" t="s">
        <v>1236</v>
      </c>
      <c r="O8" s="1152" t="s">
        <v>1237</v>
      </c>
    </row>
    <row r="9" spans="1:17" ht="24.95" customHeight="1">
      <c r="A9" s="768"/>
      <c r="B9" s="768"/>
      <c r="C9" s="1109"/>
      <c r="D9" s="739">
        <f>SUM(23.3/100)*C9</f>
        <v>0</v>
      </c>
      <c r="E9" s="739">
        <f>SUM(D9*1.4375)</f>
        <v>0</v>
      </c>
      <c r="F9" s="1027">
        <f>SUM(E9)*(0.052/0.106)</f>
        <v>0</v>
      </c>
      <c r="G9" s="1036">
        <f>SUM(0.191/0.106)*E9</f>
        <v>0</v>
      </c>
      <c r="H9" s="1027">
        <f>SUM(G9*0.55)</f>
        <v>0</v>
      </c>
      <c r="I9" s="1027">
        <f>SUM(0.023/0.106)*E9</f>
        <v>0</v>
      </c>
      <c r="J9" s="1027">
        <f>SUM(0.128/0.106)*E9</f>
        <v>0</v>
      </c>
      <c r="K9" s="1027">
        <f>SUM(I9+J9+G9)*0.25*0.48</f>
        <v>0</v>
      </c>
      <c r="L9" s="986">
        <f>SUM(G9*0.45)</f>
        <v>0</v>
      </c>
      <c r="M9" s="1153">
        <f>F9+H9</f>
        <v>0</v>
      </c>
      <c r="N9" s="700">
        <f>I9+J9+K9+L9</f>
        <v>0</v>
      </c>
      <c r="O9" s="755">
        <f>M9-N9</f>
        <v>0</v>
      </c>
      <c r="Q9" s="694"/>
    </row>
    <row r="10" spans="1:17" ht="24.95" customHeight="1">
      <c r="A10" s="768"/>
      <c r="B10" s="768"/>
      <c r="C10" s="1109"/>
      <c r="D10" s="739">
        <f t="shared" ref="D10:D17" si="0">SUM(23.3/100)*C10</f>
        <v>0</v>
      </c>
      <c r="E10" s="739">
        <f t="shared" ref="E10:E14" si="1">SUM(D10*1.4375)</f>
        <v>0</v>
      </c>
      <c r="F10" s="1027">
        <f t="shared" ref="F10:F14" si="2">SUM(E10)*(0.052/0.106)</f>
        <v>0</v>
      </c>
      <c r="G10" s="1027">
        <f t="shared" ref="G10:G14" si="3">SUM(0.191/0.106)*E10</f>
        <v>0</v>
      </c>
      <c r="H10" s="1027">
        <f t="shared" ref="H10:H14" si="4">SUM(G10*0.55)</f>
        <v>0</v>
      </c>
      <c r="I10" s="1027">
        <f t="shared" ref="I10:I14" si="5">SUM(0.023/0.106)*E10</f>
        <v>0</v>
      </c>
      <c r="J10" s="1027">
        <f t="shared" ref="J10:J14" si="6">SUM(0.128/0.106)*E10</f>
        <v>0</v>
      </c>
      <c r="K10" s="1027">
        <f t="shared" ref="K10:K14" si="7">SUM(I10+J10+G10)*0.25*0.48</f>
        <v>0</v>
      </c>
      <c r="L10" s="986">
        <f t="shared" ref="L10:L14" si="8">SUM(G10*0.45)</f>
        <v>0</v>
      </c>
      <c r="M10" s="1153">
        <f t="shared" ref="M10:M14" si="9">F10+H10</f>
        <v>0</v>
      </c>
      <c r="N10" s="700">
        <f t="shared" ref="N10:N14" si="10">I10+J10+K10+L10</f>
        <v>0</v>
      </c>
      <c r="O10" s="755">
        <f t="shared" ref="O10:O14" si="11">M10-N10</f>
        <v>0</v>
      </c>
      <c r="Q10" s="694"/>
    </row>
    <row r="11" spans="1:17" ht="24.95" customHeight="1">
      <c r="A11" s="768"/>
      <c r="B11" s="768"/>
      <c r="C11" s="1109"/>
      <c r="D11" s="739">
        <f t="shared" si="0"/>
        <v>0</v>
      </c>
      <c r="E11" s="739">
        <f t="shared" si="1"/>
        <v>0</v>
      </c>
      <c r="F11" s="1027">
        <f t="shared" si="2"/>
        <v>0</v>
      </c>
      <c r="G11" s="1027">
        <f t="shared" si="3"/>
        <v>0</v>
      </c>
      <c r="H11" s="1027">
        <f t="shared" si="4"/>
        <v>0</v>
      </c>
      <c r="I11" s="1027">
        <f t="shared" si="5"/>
        <v>0</v>
      </c>
      <c r="J11" s="1027">
        <f t="shared" si="6"/>
        <v>0</v>
      </c>
      <c r="K11" s="1027">
        <f t="shared" si="7"/>
        <v>0</v>
      </c>
      <c r="L11" s="986">
        <f t="shared" si="8"/>
        <v>0</v>
      </c>
      <c r="M11" s="1153">
        <f t="shared" si="9"/>
        <v>0</v>
      </c>
      <c r="N11" s="700">
        <f t="shared" si="10"/>
        <v>0</v>
      </c>
      <c r="O11" s="755">
        <f t="shared" si="11"/>
        <v>0</v>
      </c>
      <c r="Q11" s="694"/>
    </row>
    <row r="12" spans="1:17" ht="24.95" customHeight="1">
      <c r="A12" s="768"/>
      <c r="B12" s="768"/>
      <c r="C12" s="1109"/>
      <c r="D12" s="739">
        <f t="shared" si="0"/>
        <v>0</v>
      </c>
      <c r="E12" s="739">
        <f t="shared" si="1"/>
        <v>0</v>
      </c>
      <c r="F12" s="1027">
        <f t="shared" si="2"/>
        <v>0</v>
      </c>
      <c r="G12" s="1027">
        <f t="shared" si="3"/>
        <v>0</v>
      </c>
      <c r="H12" s="1027">
        <f t="shared" si="4"/>
        <v>0</v>
      </c>
      <c r="I12" s="1027">
        <f t="shared" si="5"/>
        <v>0</v>
      </c>
      <c r="J12" s="1027">
        <f t="shared" si="6"/>
        <v>0</v>
      </c>
      <c r="K12" s="1027">
        <f t="shared" si="7"/>
        <v>0</v>
      </c>
      <c r="L12" s="986">
        <f t="shared" si="8"/>
        <v>0</v>
      </c>
      <c r="M12" s="1153">
        <f t="shared" si="9"/>
        <v>0</v>
      </c>
      <c r="N12" s="700">
        <f t="shared" si="10"/>
        <v>0</v>
      </c>
      <c r="O12" s="755">
        <f t="shared" si="11"/>
        <v>0</v>
      </c>
      <c r="Q12" s="694"/>
    </row>
    <row r="13" spans="1:17" ht="24.95" customHeight="1">
      <c r="A13" s="768"/>
      <c r="B13" s="768"/>
      <c r="C13" s="1109"/>
      <c r="D13" s="739">
        <f t="shared" si="0"/>
        <v>0</v>
      </c>
      <c r="E13" s="739">
        <f t="shared" si="1"/>
        <v>0</v>
      </c>
      <c r="F13" s="1027">
        <f t="shared" si="2"/>
        <v>0</v>
      </c>
      <c r="G13" s="1027">
        <f t="shared" si="3"/>
        <v>0</v>
      </c>
      <c r="H13" s="1027">
        <f t="shared" si="4"/>
        <v>0</v>
      </c>
      <c r="I13" s="1027">
        <f t="shared" si="5"/>
        <v>0</v>
      </c>
      <c r="J13" s="1027">
        <f t="shared" si="6"/>
        <v>0</v>
      </c>
      <c r="K13" s="1027">
        <f t="shared" si="7"/>
        <v>0</v>
      </c>
      <c r="L13" s="986">
        <f t="shared" si="8"/>
        <v>0</v>
      </c>
      <c r="M13" s="1153">
        <f t="shared" si="9"/>
        <v>0</v>
      </c>
      <c r="N13" s="700">
        <f t="shared" si="10"/>
        <v>0</v>
      </c>
      <c r="O13" s="755">
        <f t="shared" si="11"/>
        <v>0</v>
      </c>
      <c r="Q13" s="694"/>
    </row>
    <row r="14" spans="1:17" ht="24.95" customHeight="1">
      <c r="A14" s="768"/>
      <c r="B14" s="768"/>
      <c r="C14" s="1109"/>
      <c r="D14" s="739">
        <f t="shared" si="0"/>
        <v>0</v>
      </c>
      <c r="E14" s="739">
        <f t="shared" si="1"/>
        <v>0</v>
      </c>
      <c r="F14" s="1027">
        <f t="shared" si="2"/>
        <v>0</v>
      </c>
      <c r="G14" s="1036">
        <f t="shared" si="3"/>
        <v>0</v>
      </c>
      <c r="H14" s="1027">
        <f t="shared" si="4"/>
        <v>0</v>
      </c>
      <c r="I14" s="1027">
        <f t="shared" si="5"/>
        <v>0</v>
      </c>
      <c r="J14" s="1027">
        <f t="shared" si="6"/>
        <v>0</v>
      </c>
      <c r="K14" s="1027">
        <f t="shared" si="7"/>
        <v>0</v>
      </c>
      <c r="L14" s="986">
        <f t="shared" si="8"/>
        <v>0</v>
      </c>
      <c r="M14" s="1153">
        <f t="shared" si="9"/>
        <v>0</v>
      </c>
      <c r="N14" s="700">
        <f t="shared" si="10"/>
        <v>0</v>
      </c>
      <c r="O14" s="755">
        <f t="shared" si="11"/>
        <v>0</v>
      </c>
      <c r="Q14" s="694"/>
    </row>
    <row r="15" spans="1:17" ht="24.95" customHeight="1">
      <c r="A15" s="768"/>
      <c r="B15" s="768"/>
      <c r="C15" s="1109"/>
      <c r="D15" s="739">
        <f t="shared" si="0"/>
        <v>0</v>
      </c>
      <c r="E15" s="739">
        <f t="shared" ref="E15:E17" si="12">SUM(D15*1.4375)</f>
        <v>0</v>
      </c>
      <c r="F15" s="1027">
        <f t="shared" ref="F15:F17" si="13">SUM(E15)*(0.052/0.106)</f>
        <v>0</v>
      </c>
      <c r="G15" s="1027">
        <f t="shared" ref="G15:G17" si="14">SUM(0.191/0.106)*E15</f>
        <v>0</v>
      </c>
      <c r="H15" s="1027">
        <f t="shared" ref="H15:H17" si="15">SUM(G15*0.55)</f>
        <v>0</v>
      </c>
      <c r="I15" s="1027">
        <f t="shared" ref="I15:I17" si="16">SUM(0.023/0.106)*E15</f>
        <v>0</v>
      </c>
      <c r="J15" s="1027">
        <f t="shared" ref="J15:J17" si="17">SUM(0.128/0.106)*E15</f>
        <v>0</v>
      </c>
      <c r="K15" s="1027">
        <f t="shared" ref="K15:K17" si="18">SUM(I15+J15+G15)*0.25*0.48</f>
        <v>0</v>
      </c>
      <c r="L15" s="986">
        <f t="shared" ref="L15:L17" si="19">SUM(G15*0.45)</f>
        <v>0</v>
      </c>
      <c r="M15" s="1153">
        <f t="shared" ref="M15:M17" si="20">F15+H15</f>
        <v>0</v>
      </c>
      <c r="N15" s="700">
        <f t="shared" ref="N15:N17" si="21">I15+J15+K15+L15</f>
        <v>0</v>
      </c>
      <c r="O15" s="755">
        <f t="shared" ref="O15:O17" si="22">M15-N15</f>
        <v>0</v>
      </c>
      <c r="Q15" s="694"/>
    </row>
    <row r="16" spans="1:17" ht="24.95" customHeight="1">
      <c r="A16" s="768"/>
      <c r="B16" s="768"/>
      <c r="C16" s="1109"/>
      <c r="D16" s="739">
        <f t="shared" si="0"/>
        <v>0</v>
      </c>
      <c r="E16" s="739">
        <f t="shared" si="12"/>
        <v>0</v>
      </c>
      <c r="F16" s="1027">
        <f t="shared" si="13"/>
        <v>0</v>
      </c>
      <c r="G16" s="1027">
        <f t="shared" si="14"/>
        <v>0</v>
      </c>
      <c r="H16" s="1027">
        <f t="shared" si="15"/>
        <v>0</v>
      </c>
      <c r="I16" s="1027">
        <f t="shared" si="16"/>
        <v>0</v>
      </c>
      <c r="J16" s="1027">
        <f t="shared" si="17"/>
        <v>0</v>
      </c>
      <c r="K16" s="1027">
        <f t="shared" si="18"/>
        <v>0</v>
      </c>
      <c r="L16" s="986">
        <f t="shared" si="19"/>
        <v>0</v>
      </c>
      <c r="M16" s="1153">
        <f t="shared" si="20"/>
        <v>0</v>
      </c>
      <c r="N16" s="700">
        <f t="shared" si="21"/>
        <v>0</v>
      </c>
      <c r="O16" s="755">
        <f t="shared" si="22"/>
        <v>0</v>
      </c>
      <c r="Q16" s="694"/>
    </row>
    <row r="17" spans="1:15" s="694" customFormat="1" ht="24.95" customHeight="1">
      <c r="A17" s="768"/>
      <c r="B17" s="768"/>
      <c r="C17" s="1109"/>
      <c r="D17" s="739">
        <f t="shared" si="0"/>
        <v>0</v>
      </c>
      <c r="E17" s="739">
        <f t="shared" si="12"/>
        <v>0</v>
      </c>
      <c r="F17" s="1027">
        <f t="shared" si="13"/>
        <v>0</v>
      </c>
      <c r="G17" s="1027">
        <f t="shared" si="14"/>
        <v>0</v>
      </c>
      <c r="H17" s="1027">
        <f t="shared" si="15"/>
        <v>0</v>
      </c>
      <c r="I17" s="1027">
        <f t="shared" si="16"/>
        <v>0</v>
      </c>
      <c r="J17" s="1027">
        <f t="shared" si="17"/>
        <v>0</v>
      </c>
      <c r="K17" s="1027">
        <f t="shared" si="18"/>
        <v>0</v>
      </c>
      <c r="L17" s="986">
        <f t="shared" si="19"/>
        <v>0</v>
      </c>
      <c r="M17" s="1153">
        <f t="shared" si="20"/>
        <v>0</v>
      </c>
      <c r="N17" s="700">
        <f t="shared" si="21"/>
        <v>0</v>
      </c>
      <c r="O17" s="755">
        <f t="shared" si="22"/>
        <v>0</v>
      </c>
    </row>
    <row r="18" spans="1:15" s="694" customFormat="1" ht="24.95" customHeight="1" thickBot="1">
      <c r="A18" s="768"/>
      <c r="B18" s="768"/>
      <c r="C18" s="1109"/>
      <c r="D18" s="739">
        <f t="shared" ref="D18" si="23">SUM(23.3/100)*C18</f>
        <v>0</v>
      </c>
      <c r="E18" s="739">
        <f t="shared" ref="E18" si="24">SUM(D18*1.4375)</f>
        <v>0</v>
      </c>
      <c r="F18" s="1027">
        <f t="shared" ref="F18" si="25">SUM(E18)*(0.052/0.106)</f>
        <v>0</v>
      </c>
      <c r="G18" s="1027">
        <f t="shared" ref="G18" si="26">SUM(0.191/0.106)*E18</f>
        <v>0</v>
      </c>
      <c r="H18" s="1027">
        <f t="shared" ref="H18" si="27">SUM(G18*0.55)</f>
        <v>0</v>
      </c>
      <c r="I18" s="1027">
        <f t="shared" ref="I18" si="28">SUM(0.023/0.106)*E18</f>
        <v>0</v>
      </c>
      <c r="J18" s="1027">
        <f t="shared" ref="J18" si="29">SUM(0.128/0.106)*E18</f>
        <v>0</v>
      </c>
      <c r="K18" s="1027">
        <f t="shared" ref="K18" si="30">SUM(I18+J18+G18)*0.25*0.48</f>
        <v>0</v>
      </c>
      <c r="L18" s="986">
        <f t="shared" ref="L18" si="31">SUM(G18*0.45)</f>
        <v>0</v>
      </c>
      <c r="M18" s="1154">
        <f t="shared" ref="M18" si="32">F18+H18</f>
        <v>0</v>
      </c>
      <c r="N18" s="1155">
        <f t="shared" ref="N18" si="33">I18+J18+K18+L18</f>
        <v>0</v>
      </c>
      <c r="O18" s="1156">
        <f t="shared" ref="O18" si="34">M18-N18</f>
        <v>0</v>
      </c>
    </row>
    <row r="19" spans="1:15" s="694" customFormat="1">
      <c r="A19" s="809"/>
      <c r="B19" s="809"/>
      <c r="D19" s="711"/>
      <c r="E19" s="809"/>
      <c r="F19" s="809"/>
      <c r="G19" s="809"/>
      <c r="H19" s="809"/>
      <c r="I19" s="809"/>
      <c r="J19" s="809"/>
      <c r="K19" s="809"/>
      <c r="L19" s="809"/>
      <c r="N19" s="920"/>
    </row>
    <row r="20" spans="1:15" s="694" customFormat="1">
      <c r="A20" s="809"/>
      <c r="B20" s="809"/>
      <c r="D20" s="711"/>
      <c r="E20" s="809"/>
      <c r="F20" s="809"/>
      <c r="G20" s="809"/>
      <c r="H20" s="809"/>
      <c r="I20" s="809"/>
      <c r="J20" s="809"/>
      <c r="K20" s="809"/>
      <c r="L20" s="809"/>
      <c r="N20" s="920"/>
    </row>
  </sheetData>
  <sheetProtection selectLockedCells="1"/>
  <mergeCells count="5">
    <mergeCell ref="B2:H2"/>
    <mergeCell ref="B3:H3"/>
    <mergeCell ref="K1:P1"/>
    <mergeCell ref="B1:E1"/>
    <mergeCell ref="E7:F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BE74-69E1-442B-9F5A-4ECAC33D6CFE}">
  <sheetPr>
    <tabColor rgb="FFFF99FF"/>
  </sheetPr>
  <dimension ref="A1:Y43"/>
  <sheetViews>
    <sheetView topLeftCell="A3" zoomScale="70" zoomScaleNormal="70" workbookViewId="0">
      <selection activeCell="L14" sqref="L14"/>
    </sheetView>
  </sheetViews>
  <sheetFormatPr baseColWidth="10" defaultColWidth="9.140625" defaultRowHeight="15.75"/>
  <cols>
    <col min="1" max="1" width="19.140625" style="22" bestFit="1" customWidth="1"/>
    <col min="2" max="3" width="20.42578125" style="22" customWidth="1"/>
    <col min="4" max="4" width="15.85546875" style="22" customWidth="1"/>
    <col min="5" max="5" width="16.28515625" style="22" customWidth="1"/>
    <col min="6" max="6" width="14.28515625" style="22" customWidth="1"/>
    <col min="7" max="7" width="15.7109375" style="22" customWidth="1"/>
    <col min="8" max="8" width="17.42578125" style="22" customWidth="1"/>
    <col min="9" max="9" width="13.85546875" style="22" customWidth="1"/>
    <col min="10" max="10" width="19.7109375" style="22" bestFit="1" customWidth="1"/>
    <col min="11" max="11" width="16.28515625" style="22" customWidth="1"/>
    <col min="12" max="12" width="12.7109375" style="22" customWidth="1"/>
    <col min="13" max="13" width="20" style="22" customWidth="1"/>
    <col min="14" max="14" width="20.85546875" style="22" customWidth="1"/>
    <col min="15" max="15" width="22.7109375" style="22" customWidth="1"/>
    <col min="16" max="16" width="13.28515625" style="22" customWidth="1"/>
    <col min="17" max="17" width="9.140625" style="22"/>
    <col min="18" max="18" width="13.42578125" style="22" customWidth="1"/>
    <col min="19" max="16384" width="9.140625" style="22"/>
  </cols>
  <sheetData>
    <row r="1" spans="1:14" ht="75.599999999999994" customHeight="1" thickBot="1">
      <c r="A1" s="1157" t="s">
        <v>1250</v>
      </c>
      <c r="B1" s="2146" t="s">
        <v>1251</v>
      </c>
      <c r="C1" s="2147"/>
      <c r="D1" s="2147"/>
      <c r="E1" s="2148"/>
      <c r="I1" s="2133" t="s">
        <v>414</v>
      </c>
      <c r="J1" s="2134"/>
      <c r="K1" s="2134"/>
      <c r="L1" s="2134"/>
      <c r="M1" s="2134"/>
      <c r="N1" s="2135"/>
    </row>
    <row r="2" spans="1:14" ht="27.75" customHeight="1">
      <c r="I2" s="1158" t="s">
        <v>415</v>
      </c>
      <c r="J2" s="1159"/>
      <c r="K2" s="1160" t="s">
        <v>416</v>
      </c>
      <c r="L2" s="1161"/>
      <c r="M2" s="1160" t="s">
        <v>417</v>
      </c>
      <c r="N2" s="252"/>
    </row>
    <row r="3" spans="1:14" ht="57.75" customHeight="1"/>
    <row r="4" spans="1:14" ht="75">
      <c r="A4" s="253"/>
      <c r="B4" s="1162" t="s">
        <v>1236</v>
      </c>
      <c r="D4" s="267"/>
      <c r="E4" s="267"/>
      <c r="F4" s="267"/>
      <c r="G4" s="267"/>
      <c r="H4" s="267"/>
      <c r="I4" s="267"/>
    </row>
    <row r="5" spans="1:14" ht="56.25">
      <c r="A5" s="1162" t="s">
        <v>1252</v>
      </c>
      <c r="B5" s="1163">
        <f>-SUM(J9:J33)</f>
        <v>0</v>
      </c>
    </row>
    <row r="7" spans="1:14" s="258" customFormat="1" ht="24" thickBot="1">
      <c r="A7" s="1164"/>
      <c r="D7" s="2144" t="s">
        <v>427</v>
      </c>
      <c r="E7" s="2145"/>
      <c r="G7" s="1165"/>
    </row>
    <row r="8" spans="1:14" ht="63">
      <c r="A8" s="1166" t="s">
        <v>1012</v>
      </c>
      <c r="B8" s="1167" t="s">
        <v>1253</v>
      </c>
      <c r="C8" s="1167" t="s">
        <v>1254</v>
      </c>
      <c r="D8" s="1167" t="s">
        <v>1255</v>
      </c>
      <c r="E8" s="1167" t="s">
        <v>1256</v>
      </c>
      <c r="F8" s="1167" t="s">
        <v>1257</v>
      </c>
      <c r="G8" s="1167" t="s">
        <v>1258</v>
      </c>
      <c r="H8" s="1167" t="s">
        <v>1259</v>
      </c>
      <c r="I8" s="1168" t="s">
        <v>1260</v>
      </c>
      <c r="J8" s="1169" t="s">
        <v>553</v>
      </c>
      <c r="M8" s="1170"/>
    </row>
    <row r="9" spans="1:14">
      <c r="A9" s="1171"/>
      <c r="B9" s="1172"/>
      <c r="C9" s="807">
        <v>0</v>
      </c>
      <c r="D9" s="1173"/>
      <c r="E9" s="1174">
        <f>D9*1.10231</f>
        <v>0</v>
      </c>
      <c r="F9" s="1175">
        <f>E9*0.25</f>
        <v>0</v>
      </c>
      <c r="G9" s="1176">
        <f>F9*3.67</f>
        <v>0</v>
      </c>
      <c r="H9" s="1176">
        <f>G9*0.907</f>
        <v>0</v>
      </c>
      <c r="I9" s="1425"/>
      <c r="J9" s="1178">
        <f>H9*I9</f>
        <v>0</v>
      </c>
    </row>
    <row r="10" spans="1:14">
      <c r="A10" s="1172"/>
      <c r="B10" s="1172"/>
      <c r="C10" s="807"/>
      <c r="D10" s="1173"/>
      <c r="E10" s="1174">
        <f t="shared" ref="E10:E33" si="0">D10*1.10231</f>
        <v>0</v>
      </c>
      <c r="F10" s="1175">
        <f t="shared" ref="F10:F33" si="1">E10*0.25</f>
        <v>0</v>
      </c>
      <c r="G10" s="1176">
        <f>F10*3.67</f>
        <v>0</v>
      </c>
      <c r="H10" s="1176">
        <f t="shared" ref="H10:H13" si="2">G10*0.907</f>
        <v>0</v>
      </c>
      <c r="I10" s="1177"/>
      <c r="J10" s="1178">
        <f t="shared" ref="J10:J33" si="3">H10*I10</f>
        <v>0</v>
      </c>
    </row>
    <row r="11" spans="1:14">
      <c r="A11" s="1172"/>
      <c r="B11" s="1172"/>
      <c r="C11" s="807"/>
      <c r="D11" s="1173"/>
      <c r="E11" s="1174">
        <f t="shared" si="0"/>
        <v>0</v>
      </c>
      <c r="F11" s="1175">
        <f t="shared" si="1"/>
        <v>0</v>
      </c>
      <c r="G11" s="1176">
        <f t="shared" ref="G11:G33" si="4">F11*3.67</f>
        <v>0</v>
      </c>
      <c r="H11" s="1176">
        <f t="shared" si="2"/>
        <v>0</v>
      </c>
      <c r="I11" s="1177"/>
      <c r="J11" s="1178">
        <f t="shared" si="3"/>
        <v>0</v>
      </c>
    </row>
    <row r="12" spans="1:14">
      <c r="A12" s="1172"/>
      <c r="B12" s="1172"/>
      <c r="C12" s="807"/>
      <c r="D12" s="1173"/>
      <c r="E12" s="1174">
        <f t="shared" si="0"/>
        <v>0</v>
      </c>
      <c r="F12" s="1175">
        <f t="shared" si="1"/>
        <v>0</v>
      </c>
      <c r="G12" s="1176">
        <f t="shared" si="4"/>
        <v>0</v>
      </c>
      <c r="H12" s="1176">
        <f t="shared" si="2"/>
        <v>0</v>
      </c>
      <c r="I12" s="1177"/>
      <c r="J12" s="1178">
        <f t="shared" si="3"/>
        <v>0</v>
      </c>
    </row>
    <row r="13" spans="1:14">
      <c r="A13" s="1172"/>
      <c r="B13" s="1172"/>
      <c r="C13" s="807"/>
      <c r="D13" s="1173"/>
      <c r="E13" s="1174">
        <f t="shared" si="0"/>
        <v>0</v>
      </c>
      <c r="F13" s="1175">
        <f t="shared" si="1"/>
        <v>0</v>
      </c>
      <c r="G13" s="1176">
        <f t="shared" si="4"/>
        <v>0</v>
      </c>
      <c r="H13" s="1176">
        <f t="shared" si="2"/>
        <v>0</v>
      </c>
      <c r="I13" s="1177"/>
      <c r="J13" s="1178">
        <f t="shared" si="3"/>
        <v>0</v>
      </c>
    </row>
    <row r="14" spans="1:14">
      <c r="A14" s="1172"/>
      <c r="B14" s="1172"/>
      <c r="C14" s="807"/>
      <c r="D14" s="1173"/>
      <c r="E14" s="1174">
        <f t="shared" si="0"/>
        <v>0</v>
      </c>
      <c r="F14" s="1175">
        <f t="shared" si="1"/>
        <v>0</v>
      </c>
      <c r="G14" s="1176">
        <f t="shared" si="4"/>
        <v>0</v>
      </c>
      <c r="H14" s="1176">
        <f t="shared" ref="H14:H33" si="5">G14*0.907</f>
        <v>0</v>
      </c>
      <c r="I14" s="1177"/>
      <c r="J14" s="1178">
        <f t="shared" si="3"/>
        <v>0</v>
      </c>
    </row>
    <row r="15" spans="1:14">
      <c r="A15" s="1172"/>
      <c r="B15" s="1172"/>
      <c r="C15" s="807"/>
      <c r="D15" s="1173"/>
      <c r="E15" s="1174">
        <f t="shared" si="0"/>
        <v>0</v>
      </c>
      <c r="F15" s="1175">
        <f t="shared" si="1"/>
        <v>0</v>
      </c>
      <c r="G15" s="1176">
        <f t="shared" si="4"/>
        <v>0</v>
      </c>
      <c r="H15" s="1176">
        <f t="shared" si="5"/>
        <v>0</v>
      </c>
      <c r="I15" s="1177"/>
      <c r="J15" s="1178">
        <f t="shared" si="3"/>
        <v>0</v>
      </c>
    </row>
    <row r="16" spans="1:14">
      <c r="A16" s="1172"/>
      <c r="B16" s="1172"/>
      <c r="C16" s="807"/>
      <c r="D16" s="1173"/>
      <c r="E16" s="1174">
        <f t="shared" si="0"/>
        <v>0</v>
      </c>
      <c r="F16" s="1175">
        <f t="shared" si="1"/>
        <v>0</v>
      </c>
      <c r="G16" s="1176">
        <f t="shared" si="4"/>
        <v>0</v>
      </c>
      <c r="H16" s="1176">
        <f t="shared" si="5"/>
        <v>0</v>
      </c>
      <c r="I16" s="1177"/>
      <c r="J16" s="1178">
        <f t="shared" si="3"/>
        <v>0</v>
      </c>
    </row>
    <row r="17" spans="1:10">
      <c r="A17" s="1172"/>
      <c r="B17" s="1172"/>
      <c r="C17" s="807"/>
      <c r="D17" s="1173"/>
      <c r="E17" s="1174">
        <f t="shared" si="0"/>
        <v>0</v>
      </c>
      <c r="F17" s="1175">
        <f t="shared" si="1"/>
        <v>0</v>
      </c>
      <c r="G17" s="1176">
        <f t="shared" si="4"/>
        <v>0</v>
      </c>
      <c r="H17" s="1176">
        <f t="shared" si="5"/>
        <v>0</v>
      </c>
      <c r="I17" s="1177"/>
      <c r="J17" s="1178">
        <f t="shared" si="3"/>
        <v>0</v>
      </c>
    </row>
    <row r="18" spans="1:10">
      <c r="A18" s="1172"/>
      <c r="B18" s="1172"/>
      <c r="C18" s="807"/>
      <c r="D18" s="1173"/>
      <c r="E18" s="1174">
        <f t="shared" si="0"/>
        <v>0</v>
      </c>
      <c r="F18" s="1175">
        <f t="shared" si="1"/>
        <v>0</v>
      </c>
      <c r="G18" s="1176">
        <f t="shared" si="4"/>
        <v>0</v>
      </c>
      <c r="H18" s="1176">
        <f t="shared" si="5"/>
        <v>0</v>
      </c>
      <c r="I18" s="1177"/>
      <c r="J18" s="1178">
        <f t="shared" si="3"/>
        <v>0</v>
      </c>
    </row>
    <row r="19" spans="1:10">
      <c r="A19" s="1172"/>
      <c r="B19" s="1172"/>
      <c r="C19" s="807"/>
      <c r="D19" s="1173"/>
      <c r="E19" s="1174">
        <f t="shared" si="0"/>
        <v>0</v>
      </c>
      <c r="F19" s="1175">
        <f t="shared" si="1"/>
        <v>0</v>
      </c>
      <c r="G19" s="1176">
        <f t="shared" si="4"/>
        <v>0</v>
      </c>
      <c r="H19" s="1176">
        <f t="shared" si="5"/>
        <v>0</v>
      </c>
      <c r="I19" s="1177"/>
      <c r="J19" s="1178">
        <f t="shared" si="3"/>
        <v>0</v>
      </c>
    </row>
    <row r="20" spans="1:10">
      <c r="A20" s="1172"/>
      <c r="B20" s="1172"/>
      <c r="C20" s="807"/>
      <c r="D20" s="1173"/>
      <c r="E20" s="1174">
        <f t="shared" si="0"/>
        <v>0</v>
      </c>
      <c r="F20" s="1175">
        <f t="shared" si="1"/>
        <v>0</v>
      </c>
      <c r="G20" s="1176">
        <f t="shared" si="4"/>
        <v>0</v>
      </c>
      <c r="H20" s="1176">
        <f t="shared" si="5"/>
        <v>0</v>
      </c>
      <c r="I20" s="1177"/>
      <c r="J20" s="1178">
        <f t="shared" si="3"/>
        <v>0</v>
      </c>
    </row>
    <row r="21" spans="1:10">
      <c r="A21" s="1172"/>
      <c r="B21" s="1172"/>
      <c r="C21" s="807"/>
      <c r="D21" s="1173"/>
      <c r="E21" s="1174">
        <f t="shared" si="0"/>
        <v>0</v>
      </c>
      <c r="F21" s="1175">
        <f t="shared" si="1"/>
        <v>0</v>
      </c>
      <c r="G21" s="1176">
        <f t="shared" si="4"/>
        <v>0</v>
      </c>
      <c r="H21" s="1176">
        <f t="shared" si="5"/>
        <v>0</v>
      </c>
      <c r="I21" s="1177"/>
      <c r="J21" s="1178">
        <f t="shared" si="3"/>
        <v>0</v>
      </c>
    </row>
    <row r="22" spans="1:10">
      <c r="A22" s="1172"/>
      <c r="B22" s="1172"/>
      <c r="C22" s="807"/>
      <c r="D22" s="1173"/>
      <c r="E22" s="1174">
        <f t="shared" si="0"/>
        <v>0</v>
      </c>
      <c r="F22" s="1175">
        <f t="shared" si="1"/>
        <v>0</v>
      </c>
      <c r="G22" s="1176">
        <f t="shared" si="4"/>
        <v>0</v>
      </c>
      <c r="H22" s="1176">
        <f t="shared" si="5"/>
        <v>0</v>
      </c>
      <c r="I22" s="1177"/>
      <c r="J22" s="1178">
        <f t="shared" si="3"/>
        <v>0</v>
      </c>
    </row>
    <row r="23" spans="1:10">
      <c r="A23" s="1172"/>
      <c r="B23" s="1172"/>
      <c r="C23" s="807"/>
      <c r="D23" s="1173"/>
      <c r="E23" s="1174">
        <f t="shared" si="0"/>
        <v>0</v>
      </c>
      <c r="F23" s="1175">
        <f t="shared" si="1"/>
        <v>0</v>
      </c>
      <c r="G23" s="1176">
        <f t="shared" si="4"/>
        <v>0</v>
      </c>
      <c r="H23" s="1176">
        <f t="shared" si="5"/>
        <v>0</v>
      </c>
      <c r="I23" s="1177"/>
      <c r="J23" s="1178">
        <f t="shared" si="3"/>
        <v>0</v>
      </c>
    </row>
    <row r="24" spans="1:10">
      <c r="A24" s="1172"/>
      <c r="B24" s="1172"/>
      <c r="C24" s="807"/>
      <c r="D24" s="1173"/>
      <c r="E24" s="1174">
        <f t="shared" si="0"/>
        <v>0</v>
      </c>
      <c r="F24" s="1175">
        <f t="shared" si="1"/>
        <v>0</v>
      </c>
      <c r="G24" s="1176">
        <f t="shared" si="4"/>
        <v>0</v>
      </c>
      <c r="H24" s="1176">
        <f t="shared" si="5"/>
        <v>0</v>
      </c>
      <c r="I24" s="1177"/>
      <c r="J24" s="1178">
        <f t="shared" si="3"/>
        <v>0</v>
      </c>
    </row>
    <row r="25" spans="1:10">
      <c r="A25" s="1172"/>
      <c r="B25" s="1172"/>
      <c r="C25" s="807"/>
      <c r="D25" s="1173"/>
      <c r="E25" s="1174">
        <f t="shared" si="0"/>
        <v>0</v>
      </c>
      <c r="F25" s="1175">
        <f t="shared" si="1"/>
        <v>0</v>
      </c>
      <c r="G25" s="1176">
        <f t="shared" si="4"/>
        <v>0</v>
      </c>
      <c r="H25" s="1176">
        <f t="shared" si="5"/>
        <v>0</v>
      </c>
      <c r="I25" s="1177"/>
      <c r="J25" s="1178">
        <f t="shared" si="3"/>
        <v>0</v>
      </c>
    </row>
    <row r="26" spans="1:10">
      <c r="A26" s="1172"/>
      <c r="B26" s="1172"/>
      <c r="C26" s="807"/>
      <c r="D26" s="1173"/>
      <c r="E26" s="1174">
        <f t="shared" si="0"/>
        <v>0</v>
      </c>
      <c r="F26" s="1175">
        <f t="shared" si="1"/>
        <v>0</v>
      </c>
      <c r="G26" s="1176">
        <f t="shared" si="4"/>
        <v>0</v>
      </c>
      <c r="H26" s="1176">
        <f t="shared" si="5"/>
        <v>0</v>
      </c>
      <c r="I26" s="1177"/>
      <c r="J26" s="1178">
        <f t="shared" si="3"/>
        <v>0</v>
      </c>
    </row>
    <row r="27" spans="1:10">
      <c r="A27" s="1172"/>
      <c r="B27" s="1172"/>
      <c r="C27" s="807"/>
      <c r="D27" s="1173"/>
      <c r="E27" s="1174">
        <f t="shared" si="0"/>
        <v>0</v>
      </c>
      <c r="F27" s="1175">
        <f t="shared" si="1"/>
        <v>0</v>
      </c>
      <c r="G27" s="1176">
        <f t="shared" si="4"/>
        <v>0</v>
      </c>
      <c r="H27" s="1176">
        <f t="shared" si="5"/>
        <v>0</v>
      </c>
      <c r="I27" s="1177"/>
      <c r="J27" s="1178">
        <f t="shared" si="3"/>
        <v>0</v>
      </c>
    </row>
    <row r="28" spans="1:10">
      <c r="A28" s="1172"/>
      <c r="B28" s="1172"/>
      <c r="C28" s="807"/>
      <c r="D28" s="1173"/>
      <c r="E28" s="1174">
        <f t="shared" si="0"/>
        <v>0</v>
      </c>
      <c r="F28" s="1175">
        <f t="shared" si="1"/>
        <v>0</v>
      </c>
      <c r="G28" s="1176">
        <f t="shared" si="4"/>
        <v>0</v>
      </c>
      <c r="H28" s="1176">
        <f t="shared" si="5"/>
        <v>0</v>
      </c>
      <c r="I28" s="1177"/>
      <c r="J28" s="1178">
        <f t="shared" si="3"/>
        <v>0</v>
      </c>
    </row>
    <row r="29" spans="1:10">
      <c r="A29" s="1172"/>
      <c r="B29" s="1172"/>
      <c r="C29" s="807"/>
      <c r="D29" s="1173"/>
      <c r="E29" s="1174">
        <f t="shared" si="0"/>
        <v>0</v>
      </c>
      <c r="F29" s="1175">
        <f t="shared" si="1"/>
        <v>0</v>
      </c>
      <c r="G29" s="1176">
        <f t="shared" si="4"/>
        <v>0</v>
      </c>
      <c r="H29" s="1176">
        <f t="shared" si="5"/>
        <v>0</v>
      </c>
      <c r="I29" s="1177"/>
      <c r="J29" s="1178">
        <f t="shared" si="3"/>
        <v>0</v>
      </c>
    </row>
    <row r="30" spans="1:10">
      <c r="A30" s="1172"/>
      <c r="B30" s="1172"/>
      <c r="C30" s="807"/>
      <c r="D30" s="1173"/>
      <c r="E30" s="1174">
        <f t="shared" si="0"/>
        <v>0</v>
      </c>
      <c r="F30" s="1175">
        <f t="shared" si="1"/>
        <v>0</v>
      </c>
      <c r="G30" s="1176">
        <f t="shared" si="4"/>
        <v>0</v>
      </c>
      <c r="H30" s="1176">
        <f t="shared" si="5"/>
        <v>0</v>
      </c>
      <c r="I30" s="1177"/>
      <c r="J30" s="1178">
        <f t="shared" si="3"/>
        <v>0</v>
      </c>
    </row>
    <row r="31" spans="1:10">
      <c r="A31" s="1172"/>
      <c r="B31" s="1172"/>
      <c r="C31" s="807"/>
      <c r="D31" s="1173"/>
      <c r="E31" s="1174">
        <f t="shared" si="0"/>
        <v>0</v>
      </c>
      <c r="F31" s="1175">
        <f t="shared" si="1"/>
        <v>0</v>
      </c>
      <c r="G31" s="1176">
        <f t="shared" si="4"/>
        <v>0</v>
      </c>
      <c r="H31" s="1176">
        <f t="shared" si="5"/>
        <v>0</v>
      </c>
      <c r="I31" s="1177"/>
      <c r="J31" s="1178">
        <f t="shared" si="3"/>
        <v>0</v>
      </c>
    </row>
    <row r="32" spans="1:10">
      <c r="A32" s="1172"/>
      <c r="B32" s="1172"/>
      <c r="C32" s="807"/>
      <c r="D32" s="1173"/>
      <c r="E32" s="1174">
        <f t="shared" si="0"/>
        <v>0</v>
      </c>
      <c r="F32" s="1175">
        <f t="shared" si="1"/>
        <v>0</v>
      </c>
      <c r="G32" s="1176">
        <f t="shared" si="4"/>
        <v>0</v>
      </c>
      <c r="H32" s="1176">
        <f t="shared" si="5"/>
        <v>0</v>
      </c>
      <c r="I32" s="1177"/>
      <c r="J32" s="1178">
        <f t="shared" si="3"/>
        <v>0</v>
      </c>
    </row>
    <row r="33" spans="1:25" ht="16.5" thickBot="1">
      <c r="A33" s="1172"/>
      <c r="B33" s="1172"/>
      <c r="C33" s="807"/>
      <c r="D33" s="1173"/>
      <c r="E33" s="1174">
        <f t="shared" si="0"/>
        <v>0</v>
      </c>
      <c r="F33" s="1175">
        <f t="shared" si="1"/>
        <v>0</v>
      </c>
      <c r="G33" s="1176">
        <f t="shared" si="4"/>
        <v>0</v>
      </c>
      <c r="H33" s="1176">
        <f t="shared" si="5"/>
        <v>0</v>
      </c>
      <c r="I33" s="1177"/>
      <c r="J33" s="1179">
        <f t="shared" si="3"/>
        <v>0</v>
      </c>
    </row>
    <row r="35" spans="1:25" s="1180" customFormat="1" ht="23.25">
      <c r="A35" s="2136" t="s">
        <v>1261</v>
      </c>
      <c r="B35" s="2136"/>
      <c r="C35" s="2136"/>
      <c r="D35" s="2136"/>
      <c r="E35" s="2136"/>
      <c r="F35" s="2136"/>
      <c r="G35" s="2136"/>
      <c r="H35" s="2136"/>
      <c r="I35" s="2136"/>
      <c r="J35" s="2136"/>
      <c r="K35" s="2136"/>
      <c r="L35" s="2136"/>
      <c r="M35" s="2136"/>
      <c r="N35" s="1164"/>
      <c r="O35" s="1164"/>
      <c r="P35" s="1164"/>
      <c r="Q35" s="1164"/>
      <c r="R35" s="1164"/>
      <c r="S35" s="1164"/>
      <c r="T35" s="1164"/>
      <c r="U35" s="1164"/>
      <c r="V35" s="1164"/>
      <c r="W35" s="1164"/>
      <c r="X35" s="1164"/>
      <c r="Y35" s="1164"/>
    </row>
    <row r="36" spans="1:25" ht="47.25">
      <c r="A36" s="268" t="s">
        <v>1262</v>
      </c>
      <c r="B36" s="268" t="s">
        <v>1263</v>
      </c>
      <c r="C36" s="268" t="s">
        <v>1264</v>
      </c>
      <c r="D36" s="268" t="s">
        <v>1253</v>
      </c>
      <c r="E36" s="268" t="s">
        <v>1254</v>
      </c>
      <c r="F36" s="268" t="s">
        <v>1265</v>
      </c>
      <c r="G36" s="268" t="s">
        <v>1266</v>
      </c>
      <c r="H36" s="268" t="s">
        <v>1257</v>
      </c>
      <c r="I36" s="268" t="s">
        <v>1267</v>
      </c>
      <c r="J36" s="268" t="s">
        <v>1268</v>
      </c>
      <c r="K36" s="269" t="s">
        <v>1269</v>
      </c>
      <c r="L36" s="270" t="s">
        <v>1270</v>
      </c>
      <c r="M36" s="268" t="s">
        <v>1271</v>
      </c>
      <c r="R36" s="2137" t="s">
        <v>1272</v>
      </c>
      <c r="S36" s="2138"/>
      <c r="T36" s="2139"/>
    </row>
    <row r="37" spans="1:25">
      <c r="A37" s="266" t="s">
        <v>1273</v>
      </c>
      <c r="B37" s="1181">
        <v>0</v>
      </c>
      <c r="C37" s="1182">
        <v>1</v>
      </c>
      <c r="D37" s="1183">
        <v>1</v>
      </c>
      <c r="E37" s="1184">
        <v>0.5</v>
      </c>
      <c r="F37" s="1185">
        <v>0.5</v>
      </c>
      <c r="G37" s="1186">
        <f>B37*C37</f>
        <v>0</v>
      </c>
      <c r="H37" s="1187">
        <f>G37*0.25</f>
        <v>0</v>
      </c>
      <c r="I37" s="1188">
        <f>H37*3.67</f>
        <v>0</v>
      </c>
      <c r="J37" s="1188">
        <f>I37*0.907</f>
        <v>0</v>
      </c>
      <c r="K37" s="1189"/>
      <c r="L37" s="1190">
        <f>IFERROR((VLOOKUP(E37,$R$41:$T$43, 2, TRUE)-1),0)</f>
        <v>0</v>
      </c>
      <c r="M37" s="1191">
        <f>(VLOOKUP(E37,$S$41:$T$43, 2,TRUE))*J37*D37</f>
        <v>0</v>
      </c>
      <c r="R37" s="2140"/>
      <c r="S37" s="2141"/>
      <c r="T37" s="1192" t="s">
        <v>1274</v>
      </c>
    </row>
    <row r="38" spans="1:25">
      <c r="A38" s="266" t="s">
        <v>1275</v>
      </c>
      <c r="B38" s="1181">
        <v>14000</v>
      </c>
      <c r="C38" s="1182">
        <v>2</v>
      </c>
      <c r="D38" s="1183">
        <v>1</v>
      </c>
      <c r="E38" s="1184">
        <v>0.5</v>
      </c>
      <c r="F38" s="1185">
        <v>0.5</v>
      </c>
      <c r="G38" s="1186">
        <f>B38*C38</f>
        <v>28000</v>
      </c>
      <c r="H38" s="1187">
        <f>G38*0.25</f>
        <v>7000</v>
      </c>
      <c r="I38" s="1188">
        <f>H38*3.67</f>
        <v>25690</v>
      </c>
      <c r="J38" s="1188">
        <f t="shared" ref="J38:J41" si="6">I38*0.907</f>
        <v>23300.83</v>
      </c>
      <c r="K38" s="1189"/>
      <c r="L38" s="1190">
        <f t="shared" ref="L38:L41" si="7">IFERROR((VLOOKUP(E38,$R$41:$T$43, 2, TRUE)-1),0)</f>
        <v>0</v>
      </c>
      <c r="M38" s="1191">
        <f t="shared" ref="M38:M41" si="8">(VLOOKUP(E38,$S$41:$T$43, 2,TRUE))*J38*D38</f>
        <v>17475.622500000001</v>
      </c>
      <c r="O38" s="1193"/>
      <c r="R38" s="2142"/>
      <c r="S38" s="2143"/>
      <c r="T38" s="1192" t="s">
        <v>1276</v>
      </c>
    </row>
    <row r="39" spans="1:25">
      <c r="A39" s="266" t="s">
        <v>1277</v>
      </c>
      <c r="B39" s="1181">
        <v>0</v>
      </c>
      <c r="C39" s="1182">
        <v>3.5</v>
      </c>
      <c r="D39" s="1183">
        <v>1</v>
      </c>
      <c r="E39" s="1184">
        <v>0.5</v>
      </c>
      <c r="F39" s="1185">
        <v>0.5</v>
      </c>
      <c r="G39" s="1186">
        <f>B39*C39</f>
        <v>0</v>
      </c>
      <c r="H39" s="1187">
        <f>G39*0.25</f>
        <v>0</v>
      </c>
      <c r="I39" s="1188">
        <f>H39*3.67</f>
        <v>0</v>
      </c>
      <c r="J39" s="1188">
        <f t="shared" si="6"/>
        <v>0</v>
      </c>
      <c r="K39" s="1189"/>
      <c r="L39" s="1190">
        <f t="shared" si="7"/>
        <v>0</v>
      </c>
      <c r="M39" s="1191">
        <f t="shared" si="8"/>
        <v>0</v>
      </c>
      <c r="O39" s="1193"/>
    </row>
    <row r="40" spans="1:25">
      <c r="A40" s="266" t="s">
        <v>1278</v>
      </c>
      <c r="B40" s="1181">
        <v>8000</v>
      </c>
      <c r="C40" s="1182">
        <v>5</v>
      </c>
      <c r="D40" s="1183">
        <v>1</v>
      </c>
      <c r="E40" s="1184">
        <v>0.5</v>
      </c>
      <c r="F40" s="1185">
        <v>0.5</v>
      </c>
      <c r="G40" s="1186">
        <f>B40*C40</f>
        <v>40000</v>
      </c>
      <c r="H40" s="1187">
        <f>G40*0.25</f>
        <v>10000</v>
      </c>
      <c r="I40" s="1188">
        <f>H40*3.67</f>
        <v>36700</v>
      </c>
      <c r="J40" s="1188">
        <f t="shared" si="6"/>
        <v>33286.9</v>
      </c>
      <c r="K40" s="1189"/>
      <c r="L40" s="1190">
        <f t="shared" si="7"/>
        <v>0</v>
      </c>
      <c r="M40" s="1191">
        <f t="shared" si="8"/>
        <v>24965.175000000003</v>
      </c>
      <c r="O40" s="1193"/>
      <c r="R40" s="2130" t="s">
        <v>1279</v>
      </c>
      <c r="S40" s="2131"/>
      <c r="T40" s="2132"/>
    </row>
    <row r="41" spans="1:25">
      <c r="A41" s="266" t="s">
        <v>1280</v>
      </c>
      <c r="B41" s="1181">
        <v>0</v>
      </c>
      <c r="C41" s="1182">
        <v>10</v>
      </c>
      <c r="D41" s="1183">
        <v>1</v>
      </c>
      <c r="E41" s="1184">
        <v>0.5</v>
      </c>
      <c r="F41" s="1185">
        <v>0.5</v>
      </c>
      <c r="G41" s="1186">
        <f>B41*C41</f>
        <v>0</v>
      </c>
      <c r="H41" s="1187">
        <f>G41*0.25</f>
        <v>0</v>
      </c>
      <c r="I41" s="1188">
        <f>H41*3.67</f>
        <v>0</v>
      </c>
      <c r="J41" s="1188">
        <f t="shared" si="6"/>
        <v>0</v>
      </c>
      <c r="K41" s="1189"/>
      <c r="L41" s="1190">
        <f t="shared" si="7"/>
        <v>0</v>
      </c>
      <c r="M41" s="1191">
        <f t="shared" si="8"/>
        <v>0</v>
      </c>
      <c r="R41" s="1192" t="s">
        <v>1281</v>
      </c>
      <c r="S41" s="1192">
        <v>0</v>
      </c>
      <c r="T41" s="1192">
        <v>1</v>
      </c>
      <c r="U41" s="22" t="s">
        <v>1282</v>
      </c>
    </row>
    <row r="42" spans="1:25">
      <c r="A42" s="1194"/>
      <c r="B42" s="1194"/>
      <c r="C42" s="1194"/>
      <c r="D42" s="1194"/>
      <c r="E42" s="1194"/>
      <c r="F42" s="1194"/>
      <c r="G42" s="1194"/>
      <c r="H42" s="1194"/>
      <c r="I42" s="1195"/>
      <c r="J42" s="1195"/>
      <c r="K42" s="1195"/>
      <c r="L42" s="1196"/>
      <c r="M42" s="1197">
        <f>SUM(M37:M41)</f>
        <v>42440.797500000001</v>
      </c>
      <c r="N42" s="11" t="s">
        <v>1283</v>
      </c>
      <c r="R42" s="1192" t="s">
        <v>1284</v>
      </c>
      <c r="S42" s="1192">
        <v>0.5</v>
      </c>
      <c r="T42" s="1192">
        <v>0.75</v>
      </c>
      <c r="U42" s="22" t="s">
        <v>1285</v>
      </c>
    </row>
    <row r="43" spans="1:25">
      <c r="I43" s="1193"/>
      <c r="J43" s="1193"/>
      <c r="K43" s="1193"/>
      <c r="L43" s="1193"/>
      <c r="M43" s="1193"/>
      <c r="R43" s="1192" t="s">
        <v>1286</v>
      </c>
      <c r="S43" s="1192">
        <v>1</v>
      </c>
      <c r="T43" s="1192">
        <v>0.5</v>
      </c>
      <c r="U43" s="22" t="s">
        <v>1287</v>
      </c>
    </row>
  </sheetData>
  <sheetProtection selectLockedCells="1"/>
  <mergeCells count="8">
    <mergeCell ref="R40:T40"/>
    <mergeCell ref="I1:N1"/>
    <mergeCell ref="A35:M35"/>
    <mergeCell ref="R36:T36"/>
    <mergeCell ref="R37:S37"/>
    <mergeCell ref="R38:S38"/>
    <mergeCell ref="D7:E7"/>
    <mergeCell ref="B1:E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664B-41BC-4E47-8630-BB76F7B7AD39}">
  <sheetPr>
    <tabColor theme="9" tint="-0.499984740745262"/>
  </sheetPr>
  <dimension ref="A3:C31"/>
  <sheetViews>
    <sheetView topLeftCell="A7" workbookViewId="0">
      <selection activeCell="C9" sqref="C9"/>
    </sheetView>
  </sheetViews>
  <sheetFormatPr baseColWidth="10" defaultColWidth="9.140625" defaultRowHeight="15"/>
  <cols>
    <col min="1" max="1" width="10.85546875" style="7" customWidth="1"/>
    <col min="2" max="2" width="26.42578125" style="7" customWidth="1"/>
    <col min="3" max="3" width="101.42578125" style="7" customWidth="1"/>
    <col min="4" max="16384" width="9.140625" style="7"/>
  </cols>
  <sheetData>
    <row r="3" spans="1:3" ht="54.75" customHeight="1">
      <c r="A3" s="153"/>
      <c r="B3" s="1594" t="s">
        <v>27</v>
      </c>
      <c r="C3" s="1594"/>
    </row>
    <row r="4" spans="1:3" ht="15" customHeight="1" thickBot="1">
      <c r="A4" s="153"/>
      <c r="B4" s="1595"/>
      <c r="C4" s="1595"/>
    </row>
    <row r="5" spans="1:3" ht="15.75">
      <c r="A5" s="153"/>
      <c r="B5" s="154" t="s">
        <v>28</v>
      </c>
      <c r="C5" s="155" t="s">
        <v>29</v>
      </c>
    </row>
    <row r="6" spans="1:3" ht="15.75">
      <c r="A6" s="153"/>
      <c r="B6" s="156" t="s">
        <v>30</v>
      </c>
      <c r="C6" s="157" t="s">
        <v>31</v>
      </c>
    </row>
    <row r="7" spans="1:3" ht="47.25" customHeight="1">
      <c r="A7" s="153"/>
      <c r="B7" s="158" t="s">
        <v>32</v>
      </c>
      <c r="C7" s="159" t="s">
        <v>33</v>
      </c>
    </row>
    <row r="8" spans="1:3" ht="15.75">
      <c r="A8" s="153"/>
      <c r="B8" s="156" t="s">
        <v>34</v>
      </c>
      <c r="C8" s="157" t="s">
        <v>35</v>
      </c>
    </row>
    <row r="9" spans="1:3" ht="19.5" thickBot="1">
      <c r="A9" s="153"/>
      <c r="B9" s="160" t="s">
        <v>36</v>
      </c>
      <c r="C9" s="161" t="s">
        <v>37</v>
      </c>
    </row>
    <row r="11" spans="1:3">
      <c r="B11" s="7" t="s">
        <v>38</v>
      </c>
    </row>
    <row r="12" spans="1:3">
      <c r="B12" s="162" t="s">
        <v>39</v>
      </c>
    </row>
    <row r="13" spans="1:3">
      <c r="B13" s="576" t="s">
        <v>40</v>
      </c>
    </row>
    <row r="14" spans="1:3">
      <c r="B14" s="576"/>
    </row>
    <row r="15" spans="1:3">
      <c r="B15" s="163" t="s">
        <v>41</v>
      </c>
    </row>
    <row r="16" spans="1:3" ht="58.5" customHeight="1">
      <c r="B16" s="1593" t="s">
        <v>42</v>
      </c>
      <c r="C16" s="1593"/>
    </row>
    <row r="18" spans="2:3">
      <c r="B18" s="163" t="s">
        <v>43</v>
      </c>
    </row>
    <row r="19" spans="2:3" ht="59.25" customHeight="1">
      <c r="B19" s="1593" t="s">
        <v>44</v>
      </c>
      <c r="C19" s="1593"/>
    </row>
    <row r="20" spans="2:3">
      <c r="B20" s="164"/>
      <c r="C20" s="164"/>
    </row>
    <row r="21" spans="2:3">
      <c r="B21" s="163" t="s">
        <v>45</v>
      </c>
    </row>
    <row r="22" spans="2:3" ht="30" customHeight="1">
      <c r="B22" s="1593" t="s">
        <v>46</v>
      </c>
      <c r="C22" s="1593"/>
    </row>
    <row r="24" spans="2:3">
      <c r="B24" s="163" t="s">
        <v>47</v>
      </c>
    </row>
    <row r="25" spans="2:3" ht="31.5" customHeight="1">
      <c r="B25" s="1593" t="s">
        <v>46</v>
      </c>
      <c r="C25" s="1593"/>
    </row>
    <row r="27" spans="2:3">
      <c r="B27" s="163" t="s">
        <v>48</v>
      </c>
    </row>
    <row r="28" spans="2:3" ht="32.25" customHeight="1">
      <c r="B28" s="1593" t="s">
        <v>46</v>
      </c>
      <c r="C28" s="1593"/>
    </row>
    <row r="30" spans="2:3">
      <c r="B30" s="163" t="s">
        <v>49</v>
      </c>
    </row>
    <row r="31" spans="2:3" ht="57" customHeight="1">
      <c r="B31" s="1593" t="s">
        <v>50</v>
      </c>
      <c r="C31" s="1593"/>
    </row>
  </sheetData>
  <sheetProtection algorithmName="SHA-512" hashValue="YtJBqFxCu+wxmqXdJ3nIgIt3Lu3aD9hpRKP5hlIWdlFXhquILyROzAWKYaSEZHXS/NMv0LPa1iL0wLsSe3fVKQ==" saltValue="9eO29tU4ccY4ooe+DaYLHw==" spinCount="100000" sheet="1" objects="1" scenarios="1"/>
  <mergeCells count="7">
    <mergeCell ref="B25:C25"/>
    <mergeCell ref="B28:C28"/>
    <mergeCell ref="B31:C31"/>
    <mergeCell ref="B3:C4"/>
    <mergeCell ref="B16:C16"/>
    <mergeCell ref="B19:C19"/>
    <mergeCell ref="B22:C22"/>
  </mergeCells>
  <pageMargins left="0.7" right="0.7" top="0.75" bottom="0.75" header="0.3" footer="0.3"/>
  <pageSetup orientation="portrait" horizontalDpi="3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9D689-C5D5-4902-89B7-0F331630B897}">
  <sheetPr>
    <tabColor theme="9" tint="0.79998168889431442"/>
  </sheetPr>
  <dimension ref="A1:AN1"/>
  <sheetViews>
    <sheetView topLeftCell="A12" workbookViewId="0">
      <selection activeCell="Q65" sqref="Q64:Q65"/>
    </sheetView>
  </sheetViews>
  <sheetFormatPr baseColWidth="10" defaultColWidth="9.140625" defaultRowHeight="15"/>
  <cols>
    <col min="1" max="40" width="9.140625" style="7"/>
  </cols>
  <sheetData/>
  <sheetProtection algorithmName="SHA-512" hashValue="lBw/ScMPG7As7SRo+S02XD2re4NVPR1yMRXrh9fW20XzGkTqiN2PMzePziS1dzymIAFxbQTb4GxBdjiNV1GFrA==" saltValue="v+y+zr6cCNJwJesCAXgyaw==" spinCount="100000" sheet="1" objects="1" scenarios="1"/>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647BF-77AC-4F1E-A325-99A3DF39E279}">
  <sheetPr>
    <tabColor theme="9" tint="0.59999389629810485"/>
  </sheetPr>
  <dimension ref="A1:AM1223"/>
  <sheetViews>
    <sheetView topLeftCell="A1124" zoomScale="85" zoomScaleNormal="85" workbookViewId="0">
      <selection activeCell="B1162" sqref="B1154:B1162"/>
    </sheetView>
  </sheetViews>
  <sheetFormatPr baseColWidth="10" defaultColWidth="9.140625" defaultRowHeight="15"/>
  <cols>
    <col min="1" max="1" width="35" customWidth="1"/>
    <col min="2" max="2" width="48.42578125" customWidth="1"/>
    <col min="3" max="3" width="32.7109375" customWidth="1"/>
    <col min="4" max="4" width="22.5703125" customWidth="1"/>
    <col min="5" max="5" width="26.7109375" customWidth="1"/>
    <col min="6" max="6" width="23.140625" customWidth="1"/>
    <col min="7" max="7" width="15.42578125" customWidth="1"/>
    <col min="8" max="8" width="25.140625" customWidth="1"/>
    <col min="9" max="9" width="17.140625" customWidth="1"/>
    <col min="10" max="10" width="36.85546875" customWidth="1"/>
    <col min="11" max="11" width="34.85546875" customWidth="1"/>
    <col min="12" max="12" width="16" customWidth="1"/>
    <col min="13" max="13" width="20" customWidth="1"/>
    <col min="14" max="14" width="27.140625" customWidth="1"/>
    <col min="15" max="15" width="18" customWidth="1"/>
    <col min="16" max="16" width="19.5703125" customWidth="1"/>
    <col min="17" max="17" width="29.5703125" customWidth="1"/>
    <col min="22" max="22" width="20" style="1278" customWidth="1"/>
    <col min="23" max="23" width="21.85546875" style="1278" customWidth="1"/>
    <col min="25" max="26" width="26.140625" customWidth="1"/>
    <col min="27" max="27" width="29.42578125" customWidth="1"/>
    <col min="28" max="28" width="26.85546875" customWidth="1"/>
    <col min="29" max="29" width="21.85546875" customWidth="1"/>
    <col min="31" max="31" width="14.42578125" customWidth="1"/>
    <col min="34" max="34" width="21" customWidth="1"/>
    <col min="35" max="35" width="23.42578125" customWidth="1"/>
  </cols>
  <sheetData>
    <row r="1" spans="1:23" ht="18.75">
      <c r="V1" s="1277" t="s">
        <v>2177</v>
      </c>
      <c r="W1" s="1277" t="s">
        <v>2178</v>
      </c>
    </row>
    <row r="2" spans="1:23" ht="23.25">
      <c r="A2" s="1802" t="s">
        <v>1289</v>
      </c>
      <c r="B2" s="1803"/>
      <c r="C2" s="1803"/>
      <c r="D2" s="1803"/>
      <c r="E2" s="1803"/>
      <c r="F2" s="1803"/>
      <c r="G2" s="1803"/>
      <c r="H2" s="1803"/>
      <c r="I2" s="1803"/>
      <c r="J2" s="1803"/>
      <c r="K2" s="1803"/>
      <c r="L2" s="1803"/>
      <c r="M2" s="1803"/>
      <c r="N2" s="1803"/>
      <c r="O2" s="1803"/>
      <c r="P2" s="1803"/>
      <c r="Q2" s="1804"/>
    </row>
    <row r="3" spans="1:23" ht="15.75" thickBot="1"/>
    <row r="4" spans="1:23" ht="27" thickBot="1">
      <c r="A4" s="579" t="s">
        <v>1290</v>
      </c>
      <c r="B4" s="580" t="s">
        <v>1291</v>
      </c>
      <c r="C4" s="581" t="s">
        <v>1292</v>
      </c>
      <c r="K4" s="1316" t="s">
        <v>2179</v>
      </c>
    </row>
    <row r="5" spans="1:23">
      <c r="A5" s="582" t="s">
        <v>591</v>
      </c>
      <c r="B5" s="583" t="s">
        <v>96</v>
      </c>
      <c r="C5" s="584">
        <v>1</v>
      </c>
      <c r="K5" s="1316"/>
    </row>
    <row r="6" spans="1:23">
      <c r="A6" s="585" t="s">
        <v>592</v>
      </c>
      <c r="B6" s="586" t="s">
        <v>1293</v>
      </c>
      <c r="C6" s="587">
        <v>28</v>
      </c>
      <c r="K6" s="1316"/>
    </row>
    <row r="7" spans="1:23">
      <c r="A7" s="585" t="s">
        <v>1296</v>
      </c>
      <c r="B7" s="588" t="s">
        <v>1297</v>
      </c>
      <c r="C7" s="587">
        <v>265</v>
      </c>
      <c r="K7" s="1316"/>
    </row>
    <row r="8" spans="1:23">
      <c r="K8" s="1316"/>
    </row>
    <row r="9" spans="1:23">
      <c r="A9" s="213" t="s">
        <v>1298</v>
      </c>
    </row>
    <row r="10" spans="1:23">
      <c r="A10" s="4" t="s">
        <v>2180</v>
      </c>
    </row>
    <row r="11" spans="1:23" ht="31.5">
      <c r="A11" s="1827" t="s">
        <v>2181</v>
      </c>
      <c r="B11" s="1828"/>
      <c r="C11" s="1828"/>
      <c r="D11" s="1828"/>
      <c r="E11" s="1828"/>
      <c r="F11" s="1828"/>
      <c r="G11" s="1828"/>
      <c r="H11" s="1828"/>
      <c r="I11" s="1828"/>
      <c r="J11" s="1828"/>
      <c r="K11" s="1828"/>
      <c r="L11" s="1828"/>
      <c r="M11" s="1828"/>
      <c r="N11" s="1828"/>
      <c r="O11" s="1828"/>
      <c r="P11" s="1828"/>
      <c r="Q11" s="1829"/>
    </row>
    <row r="12" spans="1:23" ht="15.75" thickBot="1">
      <c r="C12" s="1255"/>
    </row>
    <row r="13" spans="1:23">
      <c r="A13" s="668" t="s">
        <v>1300</v>
      </c>
      <c r="B13" s="668" t="s">
        <v>1301</v>
      </c>
    </row>
    <row r="14" spans="1:23">
      <c r="A14" s="1257"/>
      <c r="B14" s="1257"/>
    </row>
    <row r="15" spans="1:23">
      <c r="A15" s="612" t="s">
        <v>1305</v>
      </c>
      <c r="B15" s="1350">
        <v>967.83</v>
      </c>
      <c r="D15" s="1316" t="s">
        <v>2182</v>
      </c>
    </row>
    <row r="16" spans="1:23">
      <c r="A16" s="1349" t="s">
        <v>2183</v>
      </c>
      <c r="B16" s="1351">
        <v>0.87129999999999996</v>
      </c>
      <c r="D16" s="1316"/>
    </row>
    <row r="17" spans="1:39">
      <c r="A17" s="1348" t="s">
        <v>2184</v>
      </c>
      <c r="B17" s="1259"/>
      <c r="C17" t="s">
        <v>1304</v>
      </c>
    </row>
    <row r="18" spans="1:39">
      <c r="A18" s="1258"/>
      <c r="B18" s="1259"/>
      <c r="C18" s="10"/>
      <c r="V18" t="s">
        <v>1335</v>
      </c>
      <c r="W18"/>
      <c r="AI18" s="7"/>
      <c r="AJ18" s="7"/>
      <c r="AK18" s="7"/>
      <c r="AL18" s="7"/>
      <c r="AM18" s="7"/>
    </row>
    <row r="19" spans="1:39" ht="23.25">
      <c r="A19" s="1929" t="s">
        <v>2185</v>
      </c>
      <c r="B19" s="1873"/>
      <c r="C19" s="1873"/>
      <c r="D19" s="1873"/>
      <c r="E19" s="1873"/>
      <c r="F19" s="1873"/>
      <c r="G19" s="1873"/>
      <c r="H19" s="1803"/>
      <c r="I19" s="1873"/>
      <c r="J19" s="1873"/>
      <c r="K19" s="1873"/>
      <c r="L19" s="1873"/>
      <c r="M19" s="1873"/>
      <c r="N19" s="1873"/>
      <c r="O19" s="1873"/>
      <c r="P19" s="1873"/>
      <c r="Q19" s="1874"/>
      <c r="V19" t="s">
        <v>1337</v>
      </c>
      <c r="W19" s="10" t="s">
        <v>1338</v>
      </c>
      <c r="AI19" s="1333"/>
      <c r="AJ19" s="1334"/>
      <c r="AK19" s="1333"/>
      <c r="AL19" s="1335"/>
      <c r="AM19" s="7"/>
    </row>
    <row r="20" spans="1:39" ht="23.25">
      <c r="A20" s="1246" t="s">
        <v>1396</v>
      </c>
      <c r="B20" s="1246" t="s">
        <v>2186</v>
      </c>
      <c r="C20" s="37" t="s">
        <v>2187</v>
      </c>
      <c r="D20" s="37" t="s">
        <v>2188</v>
      </c>
      <c r="E20" s="1331" t="s">
        <v>2189</v>
      </c>
      <c r="H20" t="s">
        <v>2190</v>
      </c>
      <c r="J20" s="1346"/>
      <c r="K20" s="1346"/>
      <c r="L20" s="1346"/>
      <c r="M20" s="1346"/>
      <c r="N20" s="1346"/>
      <c r="O20" s="1346"/>
      <c r="P20" s="1346"/>
      <c r="Q20" s="1347"/>
      <c r="V20"/>
      <c r="W20" s="10"/>
      <c r="AI20" s="1333"/>
      <c r="AJ20" s="1334"/>
      <c r="AK20" s="1333"/>
      <c r="AL20" s="1335"/>
      <c r="AM20" s="7"/>
    </row>
    <row r="21" spans="1:39" ht="23.25">
      <c r="A21" s="37"/>
      <c r="B21" s="1246" t="s">
        <v>2191</v>
      </c>
      <c r="C21" s="1246" t="s">
        <v>1293</v>
      </c>
      <c r="D21" s="1246" t="s">
        <v>2192</v>
      </c>
      <c r="F21" s="1330" t="s">
        <v>2193</v>
      </c>
      <c r="H21" s="1330" t="s">
        <v>2193</v>
      </c>
      <c r="J21" s="1346"/>
      <c r="K21" s="1346"/>
      <c r="L21" s="1346"/>
      <c r="M21" s="1346"/>
      <c r="N21" s="1346"/>
      <c r="O21" s="1346"/>
      <c r="P21" s="1346"/>
      <c r="Q21" s="1347"/>
      <c r="V21"/>
      <c r="W21" s="10"/>
      <c r="AI21" s="1333"/>
      <c r="AJ21" s="1334"/>
      <c r="AK21" s="1333"/>
      <c r="AL21" s="1335"/>
      <c r="AM21" s="7"/>
    </row>
    <row r="22" spans="1:39" ht="23.25">
      <c r="A22" s="37"/>
      <c r="B22" s="1246"/>
      <c r="C22" s="1246"/>
      <c r="D22" s="1246"/>
      <c r="J22" s="1346"/>
      <c r="K22" s="1346"/>
      <c r="L22" s="1346"/>
      <c r="M22" s="1346"/>
      <c r="N22" s="1346"/>
      <c r="O22" s="1346"/>
      <c r="P22" s="1346"/>
      <c r="Q22" s="1347"/>
      <c r="V22"/>
      <c r="W22" s="10"/>
      <c r="AI22" s="1333"/>
      <c r="AJ22" s="1334"/>
      <c r="AK22" s="1333"/>
      <c r="AL22" s="1335"/>
      <c r="AM22" s="7"/>
    </row>
    <row r="23" spans="1:39" ht="23.25">
      <c r="A23" s="37" t="s">
        <v>2194</v>
      </c>
      <c r="B23" s="37">
        <v>73300</v>
      </c>
      <c r="C23" s="37">
        <v>10</v>
      </c>
      <c r="D23" s="37">
        <v>0.6</v>
      </c>
      <c r="E23" t="s">
        <v>171</v>
      </c>
      <c r="H23" t="s">
        <v>2195</v>
      </c>
      <c r="I23" t="s">
        <v>2196</v>
      </c>
      <c r="J23" s="1346"/>
      <c r="K23" s="1346"/>
      <c r="L23" s="1346"/>
      <c r="M23" s="1346"/>
      <c r="N23" s="1346"/>
      <c r="O23" s="1346"/>
      <c r="P23" s="1346"/>
      <c r="Q23" s="1347"/>
      <c r="V23"/>
      <c r="W23" s="10"/>
      <c r="AI23" s="1333"/>
      <c r="AJ23" s="1334"/>
      <c r="AK23" s="1333"/>
      <c r="AL23" s="1335"/>
      <c r="AM23" s="7"/>
    </row>
    <row r="24" spans="1:39" ht="23.25">
      <c r="A24" s="37" t="s">
        <v>2197</v>
      </c>
      <c r="B24" s="37">
        <v>77000</v>
      </c>
      <c r="C24" s="37">
        <v>10</v>
      </c>
      <c r="D24" s="37">
        <v>0.6</v>
      </c>
      <c r="E24" t="s">
        <v>171</v>
      </c>
      <c r="H24" s="1325" t="s">
        <v>2198</v>
      </c>
      <c r="J24" s="1346"/>
      <c r="K24" s="1346"/>
      <c r="L24" s="1346"/>
      <c r="M24" s="1346"/>
      <c r="N24" s="1346"/>
      <c r="O24" s="1346"/>
      <c r="P24" s="1346"/>
      <c r="Q24" s="1347"/>
      <c r="V24"/>
      <c r="W24" s="10"/>
      <c r="AI24" s="1333"/>
      <c r="AJ24" s="1334"/>
      <c r="AK24" s="1333"/>
      <c r="AL24" s="1335"/>
      <c r="AM24" s="7"/>
    </row>
    <row r="25" spans="1:39" ht="16.5" customHeight="1">
      <c r="A25" s="37" t="s">
        <v>2199</v>
      </c>
      <c r="B25" s="37">
        <v>64200</v>
      </c>
      <c r="C25" s="37">
        <v>10</v>
      </c>
      <c r="D25" s="37">
        <v>0.6</v>
      </c>
      <c r="E25" t="s">
        <v>171</v>
      </c>
      <c r="H25" t="s">
        <v>1341</v>
      </c>
      <c r="I25" s="1332">
        <v>342.14737000000002</v>
      </c>
      <c r="J25" s="7"/>
      <c r="K25" s="7"/>
      <c r="L25" s="7"/>
      <c r="M25" s="7"/>
      <c r="N25" s="7"/>
      <c r="O25" s="7"/>
      <c r="P25" s="7"/>
      <c r="Q25" s="1260"/>
      <c r="R25" s="1260"/>
      <c r="S25" s="1260"/>
      <c r="T25" s="1260"/>
      <c r="U25" s="1260"/>
      <c r="V25" s="1279"/>
      <c r="W25" s="1280"/>
      <c r="Z25" s="1246" t="s">
        <v>1396</v>
      </c>
      <c r="AA25" s="1246" t="s">
        <v>2186</v>
      </c>
      <c r="AB25" s="37" t="s">
        <v>2187</v>
      </c>
      <c r="AC25" s="37" t="s">
        <v>2188</v>
      </c>
      <c r="AD25" s="1331" t="s">
        <v>2189</v>
      </c>
      <c r="AG25" t="s">
        <v>2190</v>
      </c>
      <c r="AI25" s="1336"/>
      <c r="AJ25" s="1337"/>
      <c r="AK25" s="1338"/>
      <c r="AL25" s="1339"/>
      <c r="AM25" s="7"/>
    </row>
    <row r="26" spans="1:39" ht="16.5" customHeight="1">
      <c r="A26" s="1325" t="s">
        <v>2200</v>
      </c>
      <c r="B26" s="1326"/>
      <c r="C26" s="1326"/>
      <c r="D26" s="1326"/>
      <c r="H26" t="s">
        <v>1343</v>
      </c>
      <c r="I26" s="1332">
        <v>542.11184000000003</v>
      </c>
      <c r="J26" s="1956"/>
      <c r="K26" s="1319"/>
      <c r="L26" s="1319"/>
      <c r="M26" s="1319"/>
      <c r="N26" s="1319"/>
      <c r="O26" s="1319"/>
      <c r="P26" s="7"/>
      <c r="W26" s="1281"/>
      <c r="Z26" s="37"/>
      <c r="AA26" s="1246" t="s">
        <v>2191</v>
      </c>
      <c r="AB26" s="1246" t="s">
        <v>1293</v>
      </c>
      <c r="AC26" s="1246" t="s">
        <v>2192</v>
      </c>
      <c r="AE26" s="1330" t="s">
        <v>2193</v>
      </c>
      <c r="AG26" s="1330" t="s">
        <v>2193</v>
      </c>
      <c r="AI26" s="1336"/>
      <c r="AJ26" s="1337"/>
      <c r="AK26" s="1338"/>
      <c r="AL26" s="1339"/>
      <c r="AM26" s="7"/>
    </row>
    <row r="27" spans="1:39" ht="16.5" customHeight="1">
      <c r="A27" s="37" t="s">
        <v>1849</v>
      </c>
      <c r="B27" s="37">
        <v>69300</v>
      </c>
      <c r="C27" s="37">
        <v>10</v>
      </c>
      <c r="D27" s="37">
        <v>0.6</v>
      </c>
      <c r="E27" t="s">
        <v>171</v>
      </c>
      <c r="H27" t="s">
        <v>68</v>
      </c>
      <c r="I27" s="1332">
        <v>882.34788000000003</v>
      </c>
      <c r="J27" s="1956"/>
      <c r="K27" s="1319"/>
      <c r="L27" s="1319"/>
      <c r="M27" s="1319"/>
      <c r="N27" s="1319"/>
      <c r="O27" s="1319"/>
      <c r="P27" s="7"/>
      <c r="W27" s="1281"/>
      <c r="Z27" s="37"/>
      <c r="AA27" s="1246"/>
      <c r="AB27" s="1246"/>
      <c r="AC27" s="1246"/>
      <c r="AI27" s="1336"/>
      <c r="AJ27" s="1337"/>
      <c r="AK27" s="1338"/>
      <c r="AL27" s="1339"/>
      <c r="AM27" s="7"/>
    </row>
    <row r="28" spans="1:39" ht="16.5" customHeight="1">
      <c r="A28" s="37" t="s">
        <v>1825</v>
      </c>
      <c r="B28" s="37">
        <v>70000</v>
      </c>
      <c r="C28" s="37">
        <v>10</v>
      </c>
      <c r="D28" s="37">
        <v>0.6</v>
      </c>
      <c r="E28" s="1331">
        <v>44.3</v>
      </c>
      <c r="F28">
        <f>B28*E28/1000</f>
        <v>3101</v>
      </c>
      <c r="H28" s="1325" t="s">
        <v>67</v>
      </c>
      <c r="J28" s="1956"/>
      <c r="K28" s="1320"/>
      <c r="L28" s="1319"/>
      <c r="M28" s="1319"/>
      <c r="N28" s="1319"/>
      <c r="O28" s="1319"/>
      <c r="P28" s="7"/>
      <c r="W28" s="1281"/>
      <c r="Z28" s="37" t="s">
        <v>2194</v>
      </c>
      <c r="AA28" s="37">
        <v>73300</v>
      </c>
      <c r="AB28" s="37">
        <v>10</v>
      </c>
      <c r="AC28" s="37">
        <v>0.6</v>
      </c>
      <c r="AD28" t="s">
        <v>171</v>
      </c>
      <c r="AG28" t="s">
        <v>2195</v>
      </c>
      <c r="AH28" t="s">
        <v>2196</v>
      </c>
      <c r="AI28" s="1336"/>
      <c r="AJ28" s="1337"/>
      <c r="AK28" s="1338"/>
      <c r="AL28" s="1339"/>
      <c r="AM28" s="7"/>
    </row>
    <row r="29" spans="1:39" ht="16.5" customHeight="1">
      <c r="A29" s="37" t="s">
        <v>2201</v>
      </c>
      <c r="B29" s="37">
        <v>70000</v>
      </c>
      <c r="C29" s="37">
        <v>10</v>
      </c>
      <c r="D29" s="37">
        <v>0.6</v>
      </c>
      <c r="E29" s="1331">
        <v>44.3</v>
      </c>
      <c r="F29">
        <f>B29*E29/1000</f>
        <v>3101</v>
      </c>
      <c r="H29" t="s">
        <v>2202</v>
      </c>
      <c r="I29" s="1332">
        <v>304.50970000000001</v>
      </c>
      <c r="J29" s="1379" t="s">
        <v>2182</v>
      </c>
      <c r="K29" s="1322"/>
      <c r="L29" s="1322"/>
      <c r="M29" s="1322"/>
      <c r="N29" s="1322"/>
      <c r="O29" s="1322"/>
      <c r="P29" s="7"/>
      <c r="Z29" s="37" t="s">
        <v>2197</v>
      </c>
      <c r="AA29" s="37">
        <v>77000</v>
      </c>
      <c r="AB29" s="37">
        <v>10</v>
      </c>
      <c r="AC29" s="37">
        <v>0.6</v>
      </c>
      <c r="AD29" t="s">
        <v>171</v>
      </c>
      <c r="AG29" s="1325" t="s">
        <v>2198</v>
      </c>
      <c r="AI29" s="1336"/>
      <c r="AJ29" s="1337"/>
      <c r="AK29" s="1338"/>
      <c r="AL29" s="1339"/>
      <c r="AM29" s="7"/>
    </row>
    <row r="30" spans="1:39" ht="16.5" customHeight="1">
      <c r="A30" s="37" t="s">
        <v>2203</v>
      </c>
      <c r="B30" s="37">
        <v>71500</v>
      </c>
      <c r="C30" s="37">
        <v>10</v>
      </c>
      <c r="D30" s="37">
        <v>0.6</v>
      </c>
      <c r="E30" s="1331">
        <v>44.1</v>
      </c>
      <c r="F30">
        <f>B30*E30/1000</f>
        <v>3153.15</v>
      </c>
      <c r="H30" t="s">
        <v>1346</v>
      </c>
      <c r="I30" s="1332">
        <v>350.45558</v>
      </c>
      <c r="J30" s="1321"/>
      <c r="K30" s="1322"/>
      <c r="L30" s="1322"/>
      <c r="M30" s="1322"/>
      <c r="N30" s="1322"/>
      <c r="O30" s="1322"/>
      <c r="P30" s="7"/>
      <c r="Y30" s="1318"/>
      <c r="Z30" s="37" t="s">
        <v>2199</v>
      </c>
      <c r="AA30" s="37">
        <v>64200</v>
      </c>
      <c r="AB30" s="37">
        <v>10</v>
      </c>
      <c r="AC30" s="37">
        <v>0.6</v>
      </c>
      <c r="AD30" t="s">
        <v>171</v>
      </c>
      <c r="AG30" t="s">
        <v>1341</v>
      </c>
      <c r="AH30" s="1332">
        <v>342.14737000000002</v>
      </c>
      <c r="AI30" s="1336"/>
      <c r="AJ30" s="1337"/>
      <c r="AK30" s="1338"/>
      <c r="AL30" s="1339"/>
      <c r="AM30" s="7"/>
    </row>
    <row r="31" spans="1:39" ht="16.5" customHeight="1">
      <c r="A31" s="37" t="s">
        <v>2204</v>
      </c>
      <c r="B31" s="37">
        <v>71900</v>
      </c>
      <c r="C31" s="37">
        <v>10</v>
      </c>
      <c r="D31" s="37">
        <v>0.6</v>
      </c>
      <c r="E31" t="s">
        <v>171</v>
      </c>
      <c r="H31" s="1325" t="s">
        <v>2205</v>
      </c>
      <c r="J31" s="1321"/>
      <c r="K31" s="1322"/>
      <c r="L31" s="1322"/>
      <c r="M31" s="1322"/>
      <c r="N31" s="1322"/>
      <c r="O31" s="1322"/>
      <c r="P31" s="7"/>
      <c r="W31" s="1281"/>
      <c r="Y31" s="1318"/>
      <c r="Z31" s="1325" t="s">
        <v>2200</v>
      </c>
      <c r="AA31" s="1326"/>
      <c r="AB31" s="1326"/>
      <c r="AC31" s="1326"/>
      <c r="AG31" t="s">
        <v>1343</v>
      </c>
      <c r="AH31" s="1332">
        <v>542.11184000000003</v>
      </c>
      <c r="AI31" s="1336"/>
      <c r="AJ31" s="1337"/>
      <c r="AK31" s="1338"/>
      <c r="AL31" s="1339"/>
      <c r="AM31" s="7"/>
    </row>
    <row r="32" spans="1:39" ht="16.5" customHeight="1">
      <c r="A32" s="37" t="s">
        <v>2206</v>
      </c>
      <c r="B32" s="37">
        <v>73300</v>
      </c>
      <c r="C32" s="37">
        <v>10</v>
      </c>
      <c r="D32" s="37">
        <v>0.6</v>
      </c>
      <c r="E32" t="s">
        <v>171</v>
      </c>
      <c r="H32" t="s">
        <v>2207</v>
      </c>
      <c r="I32" s="1332">
        <v>815.31014000000005</v>
      </c>
      <c r="J32" s="1321"/>
      <c r="K32" s="1322"/>
      <c r="L32" s="1322"/>
      <c r="M32" s="1322"/>
      <c r="N32" s="1322"/>
      <c r="O32" s="1322"/>
      <c r="P32" s="7"/>
      <c r="W32" s="1281"/>
      <c r="Y32" s="1318"/>
      <c r="Z32" s="37" t="s">
        <v>1849</v>
      </c>
      <c r="AA32" s="37">
        <v>69300</v>
      </c>
      <c r="AB32" s="37">
        <v>10</v>
      </c>
      <c r="AC32" s="37">
        <v>0.6</v>
      </c>
      <c r="AD32" t="s">
        <v>171</v>
      </c>
      <c r="AG32" t="s">
        <v>68</v>
      </c>
      <c r="AH32" s="1332">
        <v>882.34788000000003</v>
      </c>
      <c r="AI32" s="1336"/>
      <c r="AJ32" s="1337"/>
      <c r="AK32" s="1338"/>
      <c r="AL32" s="1339"/>
      <c r="AM32" s="7"/>
    </row>
    <row r="33" spans="1:39" ht="16.5" customHeight="1">
      <c r="A33" s="37" t="s">
        <v>2208</v>
      </c>
      <c r="B33" s="37">
        <v>74100</v>
      </c>
      <c r="C33" s="37">
        <v>10</v>
      </c>
      <c r="D33" s="37">
        <v>0.6</v>
      </c>
      <c r="E33" s="1331">
        <v>43</v>
      </c>
      <c r="F33">
        <f t="shared" ref="F33:F38" si="0">B33*E33/1000</f>
        <v>3186.3</v>
      </c>
      <c r="H33" t="s">
        <v>2209</v>
      </c>
      <c r="I33" s="1332">
        <v>658.57015999999999</v>
      </c>
      <c r="J33" s="1321"/>
      <c r="K33" s="1322"/>
      <c r="L33" s="1322"/>
      <c r="M33" s="1322"/>
      <c r="N33" s="1322"/>
      <c r="O33" s="1322"/>
      <c r="P33" s="7"/>
      <c r="W33" s="1281"/>
      <c r="Z33" s="37" t="s">
        <v>1825</v>
      </c>
      <c r="AA33" s="37">
        <v>70000</v>
      </c>
      <c r="AB33" s="37">
        <v>10</v>
      </c>
      <c r="AC33" s="37">
        <v>0.6</v>
      </c>
      <c r="AD33" s="1331">
        <v>44.3</v>
      </c>
      <c r="AE33">
        <f>AA33*AD33/1000</f>
        <v>3101</v>
      </c>
      <c r="AG33" s="1325" t="s">
        <v>67</v>
      </c>
      <c r="AI33" s="1336"/>
      <c r="AJ33" s="1337"/>
      <c r="AK33" s="1338"/>
      <c r="AL33" s="1339"/>
      <c r="AM33" s="7"/>
    </row>
    <row r="34" spans="1:39" ht="16.5" customHeight="1">
      <c r="A34" s="37" t="s">
        <v>1851</v>
      </c>
      <c r="B34" s="37">
        <v>77400</v>
      </c>
      <c r="C34" s="37">
        <v>10</v>
      </c>
      <c r="D34" s="37">
        <v>0.6</v>
      </c>
      <c r="E34" s="1331">
        <v>40.4</v>
      </c>
      <c r="F34">
        <f t="shared" si="0"/>
        <v>3126.96</v>
      </c>
      <c r="H34" t="s">
        <v>2210</v>
      </c>
      <c r="I34" s="1332">
        <v>657.97242000000006</v>
      </c>
      <c r="J34" s="1321"/>
      <c r="K34" s="1322"/>
      <c r="L34" s="1322"/>
      <c r="M34" s="1322"/>
      <c r="N34" s="1322"/>
      <c r="O34" s="1322"/>
      <c r="P34" s="7"/>
      <c r="W34" s="1281"/>
      <c r="Z34" s="37" t="s">
        <v>2201</v>
      </c>
      <c r="AA34" s="37">
        <v>70000</v>
      </c>
      <c r="AB34" s="37">
        <v>10</v>
      </c>
      <c r="AC34" s="37">
        <v>0.6</v>
      </c>
      <c r="AD34" s="1331">
        <v>44.3</v>
      </c>
      <c r="AE34">
        <f>AA34*AD34/1000</f>
        <v>3101</v>
      </c>
      <c r="AG34" t="s">
        <v>2202</v>
      </c>
      <c r="AH34" s="1332">
        <v>304.50970000000001</v>
      </c>
      <c r="AI34" s="1336"/>
      <c r="AJ34" s="1337"/>
      <c r="AK34" s="1338"/>
      <c r="AL34" s="1339"/>
      <c r="AM34" s="7"/>
    </row>
    <row r="35" spans="1:39" ht="16.5" customHeight="1">
      <c r="A35" s="37" t="s">
        <v>2211</v>
      </c>
      <c r="B35" s="37">
        <v>63100</v>
      </c>
      <c r="C35" s="37">
        <v>5</v>
      </c>
      <c r="D35" s="37">
        <v>0.1</v>
      </c>
      <c r="E35" s="1331">
        <v>47.3</v>
      </c>
      <c r="F35">
        <f t="shared" si="0"/>
        <v>2984.63</v>
      </c>
      <c r="H35" t="s">
        <v>70</v>
      </c>
      <c r="I35" s="1332">
        <v>720.72856999999999</v>
      </c>
      <c r="J35" s="1321"/>
      <c r="K35" s="1322"/>
      <c r="L35" s="1322"/>
      <c r="M35" s="1322"/>
      <c r="N35" s="1322"/>
      <c r="O35" s="1322"/>
      <c r="P35" s="7"/>
      <c r="W35" s="1281"/>
      <c r="Z35" s="37" t="s">
        <v>2203</v>
      </c>
      <c r="AA35" s="37">
        <v>71500</v>
      </c>
      <c r="AB35" s="37">
        <v>10</v>
      </c>
      <c r="AC35" s="37">
        <v>0.6</v>
      </c>
      <c r="AD35" s="1331">
        <v>44.1</v>
      </c>
      <c r="AE35">
        <f>AA35*AD35/1000</f>
        <v>3153.15</v>
      </c>
      <c r="AG35" t="s">
        <v>1346</v>
      </c>
      <c r="AH35" s="1332">
        <v>350.45558</v>
      </c>
      <c r="AI35" s="1336"/>
      <c r="AJ35" s="1337"/>
      <c r="AK35" s="1338"/>
      <c r="AL35" s="1339"/>
      <c r="AM35" s="7"/>
    </row>
    <row r="36" spans="1:39" ht="16.5" customHeight="1">
      <c r="A36" s="37" t="s">
        <v>1324</v>
      </c>
      <c r="B36" s="37">
        <v>61600</v>
      </c>
      <c r="C36" s="37">
        <v>5</v>
      </c>
      <c r="D36" s="37">
        <v>0.1</v>
      </c>
      <c r="E36" s="1331">
        <v>46.4</v>
      </c>
      <c r="F36">
        <f t="shared" si="0"/>
        <v>2858.24</v>
      </c>
      <c r="H36" t="s">
        <v>1372</v>
      </c>
      <c r="I36" s="1332">
        <v>709.08076000000005</v>
      </c>
      <c r="J36" s="1321"/>
      <c r="K36" s="1322"/>
      <c r="L36" s="1322"/>
      <c r="M36" s="1322"/>
      <c r="N36" s="1322"/>
      <c r="O36" s="1322"/>
      <c r="P36" s="7"/>
      <c r="W36" s="1281"/>
      <c r="Z36" s="37" t="s">
        <v>2204</v>
      </c>
      <c r="AA36" s="37">
        <v>71900</v>
      </c>
      <c r="AB36" s="37">
        <v>10</v>
      </c>
      <c r="AC36" s="37">
        <v>0.6</v>
      </c>
      <c r="AD36" t="s">
        <v>171</v>
      </c>
      <c r="AG36" s="1325" t="s">
        <v>2205</v>
      </c>
      <c r="AI36" s="1336"/>
      <c r="AJ36" s="1337"/>
      <c r="AK36" s="1338"/>
      <c r="AL36" s="1339"/>
      <c r="AM36" s="7"/>
    </row>
    <row r="37" spans="1:39" ht="16.5" customHeight="1">
      <c r="A37" s="37" t="s">
        <v>1378</v>
      </c>
      <c r="B37" s="37">
        <v>73300</v>
      </c>
      <c r="C37" s="37">
        <v>10</v>
      </c>
      <c r="D37" s="37">
        <v>0.6</v>
      </c>
      <c r="E37" s="1331">
        <v>44.5</v>
      </c>
      <c r="F37">
        <f t="shared" si="0"/>
        <v>3261.85</v>
      </c>
      <c r="H37" t="s">
        <v>2212</v>
      </c>
      <c r="I37" s="1332">
        <v>740.69721000000004</v>
      </c>
      <c r="J37" s="1321"/>
      <c r="K37" s="1322"/>
      <c r="L37" s="1322"/>
      <c r="M37" s="1322"/>
      <c r="N37" s="1322"/>
      <c r="O37" s="1322"/>
      <c r="P37" s="7"/>
      <c r="W37" s="1281"/>
      <c r="Z37" s="37" t="s">
        <v>2206</v>
      </c>
      <c r="AA37" s="37">
        <v>73300</v>
      </c>
      <c r="AB37" s="37">
        <v>10</v>
      </c>
      <c r="AC37" s="37">
        <v>0.6</v>
      </c>
      <c r="AD37" t="s">
        <v>171</v>
      </c>
      <c r="AG37" t="s">
        <v>2207</v>
      </c>
      <c r="AH37" s="1332">
        <v>815.31014000000005</v>
      </c>
      <c r="AI37" s="1336"/>
      <c r="AJ37" s="1337"/>
      <c r="AK37" s="1338"/>
      <c r="AL37" s="1339"/>
      <c r="AM37" s="7"/>
    </row>
    <row r="38" spans="1:39" ht="16.5" customHeight="1">
      <c r="A38" s="37" t="s">
        <v>2213</v>
      </c>
      <c r="B38" s="37">
        <v>80700</v>
      </c>
      <c r="C38" s="37">
        <v>10</v>
      </c>
      <c r="D38" s="37">
        <v>0.6</v>
      </c>
      <c r="E38" s="1331">
        <v>40.200000000000003</v>
      </c>
      <c r="F38">
        <f t="shared" si="0"/>
        <v>3244.14</v>
      </c>
      <c r="H38" t="s">
        <v>2214</v>
      </c>
      <c r="I38" s="1332">
        <v>824.04840000000002</v>
      </c>
      <c r="J38" s="1321"/>
      <c r="K38" s="1322"/>
      <c r="L38" s="1322"/>
      <c r="M38" s="1322"/>
      <c r="N38" s="1322"/>
      <c r="O38" s="1322"/>
      <c r="P38" s="7"/>
      <c r="W38" s="1281"/>
      <c r="Z38" s="37" t="s">
        <v>2208</v>
      </c>
      <c r="AA38" s="37">
        <v>74100</v>
      </c>
      <c r="AB38" s="37">
        <v>10</v>
      </c>
      <c r="AC38" s="37">
        <v>0.6</v>
      </c>
      <c r="AD38" s="1331">
        <v>43</v>
      </c>
      <c r="AE38">
        <f t="shared" ref="AE38:AE43" si="1">AA38*AD38/1000</f>
        <v>3186.3</v>
      </c>
      <c r="AG38" t="s">
        <v>2209</v>
      </c>
      <c r="AH38" s="1332">
        <v>658.57015999999999</v>
      </c>
      <c r="AI38" s="1336"/>
      <c r="AJ38" s="1337"/>
      <c r="AK38" s="1338"/>
      <c r="AL38" s="1339"/>
      <c r="AM38" s="7"/>
    </row>
    <row r="39" spans="1:39" ht="16.5" customHeight="1">
      <c r="A39" s="37" t="s">
        <v>2214</v>
      </c>
      <c r="B39" s="37">
        <v>73300</v>
      </c>
      <c r="C39" s="37">
        <v>10</v>
      </c>
      <c r="D39" s="37">
        <v>0.6</v>
      </c>
      <c r="E39" t="s">
        <v>171</v>
      </c>
      <c r="H39" t="s">
        <v>1378</v>
      </c>
      <c r="I39" s="1332">
        <v>640.80917999999997</v>
      </c>
      <c r="J39" s="1321"/>
      <c r="K39" s="1322"/>
      <c r="L39" s="1322"/>
      <c r="M39" s="1322"/>
      <c r="N39" s="1322"/>
      <c r="O39" s="1322"/>
      <c r="P39" s="7"/>
      <c r="R39" s="1262"/>
      <c r="W39" s="1281"/>
      <c r="Z39" s="37" t="s">
        <v>1851</v>
      </c>
      <c r="AA39" s="37">
        <v>77400</v>
      </c>
      <c r="AB39" s="37">
        <v>10</v>
      </c>
      <c r="AC39" s="37">
        <v>0.6</v>
      </c>
      <c r="AD39" s="1331">
        <v>40.4</v>
      </c>
      <c r="AE39">
        <f t="shared" si="1"/>
        <v>3126.96</v>
      </c>
      <c r="AG39" t="s">
        <v>2210</v>
      </c>
      <c r="AH39" s="1332">
        <v>657.97242000000006</v>
      </c>
      <c r="AI39" s="1336"/>
      <c r="AJ39" s="1337"/>
      <c r="AK39" s="1338"/>
      <c r="AL39" s="1339"/>
      <c r="AM39" s="7"/>
    </row>
    <row r="40" spans="1:39" ht="16.5" customHeight="1">
      <c r="A40" s="37" t="s">
        <v>2215</v>
      </c>
      <c r="B40" s="37">
        <v>97500</v>
      </c>
      <c r="C40" s="37">
        <v>10</v>
      </c>
      <c r="D40" s="37">
        <v>0.6</v>
      </c>
      <c r="E40" t="s">
        <v>171</v>
      </c>
      <c r="H40" t="s">
        <v>72</v>
      </c>
      <c r="I40" s="1332">
        <v>824.12159999999994</v>
      </c>
      <c r="J40" s="1321"/>
      <c r="K40" s="1322"/>
      <c r="L40" s="1322"/>
      <c r="M40" s="1322"/>
      <c r="N40" s="1322"/>
      <c r="O40" s="1322"/>
      <c r="P40" s="1323"/>
      <c r="R40" s="1262"/>
      <c r="W40" s="1281"/>
      <c r="Z40" s="37" t="s">
        <v>2211</v>
      </c>
      <c r="AA40" s="37">
        <v>63100</v>
      </c>
      <c r="AB40" s="37">
        <v>5</v>
      </c>
      <c r="AC40" s="37">
        <v>0.1</v>
      </c>
      <c r="AD40" s="1331">
        <v>47.3</v>
      </c>
      <c r="AE40">
        <f t="shared" si="1"/>
        <v>2984.63</v>
      </c>
      <c r="AG40" t="s">
        <v>70</v>
      </c>
      <c r="AH40" s="1332">
        <v>720.72856999999999</v>
      </c>
      <c r="AI40" s="1336"/>
      <c r="AJ40" s="1337"/>
      <c r="AK40" s="1338"/>
      <c r="AL40" s="1339"/>
      <c r="AM40" s="7"/>
    </row>
    <row r="41" spans="1:39" ht="16.5" customHeight="1">
      <c r="A41" s="37" t="s">
        <v>2216</v>
      </c>
      <c r="B41" s="37">
        <v>73300</v>
      </c>
      <c r="C41" s="37">
        <v>10</v>
      </c>
      <c r="D41" s="37">
        <v>0.6</v>
      </c>
      <c r="E41" t="s">
        <v>171</v>
      </c>
      <c r="H41" t="s">
        <v>2217</v>
      </c>
      <c r="I41" s="1332">
        <v>835.81881999999996</v>
      </c>
      <c r="J41" s="1321"/>
      <c r="K41" s="1322"/>
      <c r="L41" s="1322"/>
      <c r="M41" s="1322"/>
      <c r="N41" s="1322"/>
      <c r="O41" s="1322"/>
      <c r="P41" s="7"/>
      <c r="W41" s="1281"/>
      <c r="Z41" s="37" t="s">
        <v>1324</v>
      </c>
      <c r="AA41" s="37">
        <v>61600</v>
      </c>
      <c r="AB41" s="37">
        <v>5</v>
      </c>
      <c r="AC41" s="37">
        <v>0.1</v>
      </c>
      <c r="AD41" s="1331">
        <v>46.4</v>
      </c>
      <c r="AE41">
        <f t="shared" si="1"/>
        <v>2858.24</v>
      </c>
      <c r="AG41" t="s">
        <v>1372</v>
      </c>
      <c r="AH41" s="1332">
        <v>709.08076000000005</v>
      </c>
      <c r="AI41" s="1336"/>
      <c r="AJ41" s="1337"/>
      <c r="AK41" s="1338"/>
      <c r="AL41" s="1339"/>
      <c r="AM41" s="7"/>
    </row>
    <row r="42" spans="1:39" ht="16.5" customHeight="1">
      <c r="A42" s="1325" t="s">
        <v>2218</v>
      </c>
      <c r="B42" s="1326"/>
      <c r="C42" s="1326"/>
      <c r="D42" s="1326"/>
      <c r="H42" s="1325" t="s">
        <v>2219</v>
      </c>
      <c r="J42" s="1321"/>
      <c r="K42" s="1322"/>
      <c r="L42" s="1322"/>
      <c r="M42" s="1322"/>
      <c r="N42" s="1322"/>
      <c r="O42" s="1322"/>
      <c r="P42" s="7"/>
      <c r="R42" s="10"/>
      <c r="W42" s="1281"/>
      <c r="Z42" s="37" t="s">
        <v>1378</v>
      </c>
      <c r="AA42" s="37">
        <v>73300</v>
      </c>
      <c r="AB42" s="37">
        <v>10</v>
      </c>
      <c r="AC42" s="37">
        <v>0.6</v>
      </c>
      <c r="AD42" s="1331">
        <v>44.5</v>
      </c>
      <c r="AE42">
        <f t="shared" si="1"/>
        <v>3261.85</v>
      </c>
      <c r="AG42" t="s">
        <v>2212</v>
      </c>
      <c r="AH42" s="1332">
        <v>740.69721000000004</v>
      </c>
      <c r="AI42" s="1336"/>
      <c r="AJ42" s="1337"/>
      <c r="AK42" s="1338"/>
      <c r="AL42" s="1339"/>
      <c r="AM42" s="7"/>
    </row>
    <row r="43" spans="1:39" ht="16.5" customHeight="1">
      <c r="A43" s="37" t="s">
        <v>1319</v>
      </c>
      <c r="B43" s="37">
        <v>57600</v>
      </c>
      <c r="C43" s="37">
        <v>5</v>
      </c>
      <c r="D43" s="37">
        <v>0.1</v>
      </c>
      <c r="E43" s="1331">
        <v>49.5</v>
      </c>
      <c r="H43" t="s">
        <v>2220</v>
      </c>
      <c r="I43" s="1332">
        <v>393.14028999999999</v>
      </c>
      <c r="J43" s="1321"/>
      <c r="K43" s="1322"/>
      <c r="L43" s="1322"/>
      <c r="M43" s="1322"/>
      <c r="N43" s="1322"/>
      <c r="O43" s="1322"/>
      <c r="P43" s="7"/>
      <c r="W43" s="1281"/>
      <c r="Z43" s="37" t="s">
        <v>2213</v>
      </c>
      <c r="AA43" s="37">
        <v>80700</v>
      </c>
      <c r="AB43" s="37">
        <v>10</v>
      </c>
      <c r="AC43" s="37">
        <v>0.6</v>
      </c>
      <c r="AD43" s="1331">
        <v>40.200000000000003</v>
      </c>
      <c r="AE43">
        <f t="shared" si="1"/>
        <v>3244.14</v>
      </c>
      <c r="AG43" t="s">
        <v>2214</v>
      </c>
      <c r="AH43" s="1332">
        <v>824.04840000000002</v>
      </c>
      <c r="AI43" s="1336"/>
      <c r="AJ43" s="1337"/>
      <c r="AK43" s="1338"/>
      <c r="AL43" s="1339"/>
      <c r="AM43" s="7"/>
    </row>
    <row r="44" spans="1:39" ht="16.5" customHeight="1">
      <c r="A44" s="37" t="s">
        <v>2221</v>
      </c>
      <c r="B44" s="37">
        <v>73300</v>
      </c>
      <c r="C44" s="37">
        <v>10</v>
      </c>
      <c r="D44" s="37">
        <v>0.6</v>
      </c>
      <c r="E44" s="1331">
        <v>40.200000000000003</v>
      </c>
      <c r="H44" t="s">
        <v>1569</v>
      </c>
      <c r="I44" s="1332">
        <v>467.96717999999998</v>
      </c>
      <c r="J44" s="7"/>
      <c r="K44" s="7"/>
      <c r="L44" s="7"/>
      <c r="M44" s="7"/>
      <c r="N44" s="1322"/>
      <c r="O44" s="7"/>
      <c r="P44" s="7"/>
      <c r="R44" s="10"/>
      <c r="W44" s="1281"/>
      <c r="Z44" s="37" t="s">
        <v>2214</v>
      </c>
      <c r="AA44" s="37">
        <v>73300</v>
      </c>
      <c r="AB44" s="37">
        <v>10</v>
      </c>
      <c r="AC44" s="37">
        <v>0.6</v>
      </c>
      <c r="AD44" t="s">
        <v>171</v>
      </c>
      <c r="AG44" t="s">
        <v>1378</v>
      </c>
      <c r="AH44" s="1332">
        <v>640.80917999999997</v>
      </c>
      <c r="AI44" s="1336"/>
      <c r="AJ44" s="1337"/>
      <c r="AK44" s="1338"/>
      <c r="AL44" s="1339"/>
      <c r="AM44" s="7"/>
    </row>
    <row r="45" spans="1:39" ht="16.5" customHeight="1">
      <c r="A45" s="37" t="s">
        <v>2222</v>
      </c>
      <c r="B45" s="37">
        <v>73300</v>
      </c>
      <c r="C45" s="37">
        <v>10</v>
      </c>
      <c r="D45" s="37">
        <v>0.6</v>
      </c>
      <c r="E45" s="1331">
        <v>40.200000000000003</v>
      </c>
      <c r="F45">
        <f>B45*E45/1000</f>
        <v>2946.66</v>
      </c>
      <c r="H45" t="s">
        <v>1380</v>
      </c>
      <c r="I45" s="1332">
        <v>399.24907000000002</v>
      </c>
      <c r="J45" s="7"/>
      <c r="K45" s="7"/>
      <c r="L45" s="7"/>
      <c r="M45" s="7"/>
      <c r="N45" s="1322"/>
      <c r="O45" s="7"/>
      <c r="P45" s="7"/>
      <c r="R45" s="10"/>
      <c r="W45" s="1281"/>
      <c r="Y45" s="1318"/>
      <c r="Z45" s="37" t="s">
        <v>2215</v>
      </c>
      <c r="AA45" s="37">
        <v>97500</v>
      </c>
      <c r="AB45" s="37">
        <v>10</v>
      </c>
      <c r="AC45" s="37">
        <v>0.6</v>
      </c>
      <c r="AD45" t="s">
        <v>171</v>
      </c>
      <c r="AG45" t="s">
        <v>72</v>
      </c>
      <c r="AH45" s="1332">
        <v>824.12159999999994</v>
      </c>
      <c r="AI45" s="1336"/>
      <c r="AJ45" s="1336"/>
      <c r="AK45" s="1338"/>
      <c r="AL45" s="1339"/>
      <c r="AM45" s="7"/>
    </row>
    <row r="46" spans="1:39" ht="16.5" customHeight="1">
      <c r="A46" s="37" t="s">
        <v>2223</v>
      </c>
      <c r="B46" s="37">
        <v>73300</v>
      </c>
      <c r="C46" s="37">
        <v>10</v>
      </c>
      <c r="D46" s="37">
        <v>0.6</v>
      </c>
      <c r="E46" t="s">
        <v>171</v>
      </c>
      <c r="L46" s="1261"/>
      <c r="W46" s="1281"/>
      <c r="Y46" s="1318"/>
      <c r="Z46" s="37" t="s">
        <v>2216</v>
      </c>
      <c r="AA46" s="37">
        <v>73300</v>
      </c>
      <c r="AB46" s="37">
        <v>10</v>
      </c>
      <c r="AC46" s="37">
        <v>0.6</v>
      </c>
      <c r="AD46" t="s">
        <v>171</v>
      </c>
      <c r="AG46" t="s">
        <v>2217</v>
      </c>
      <c r="AH46" s="1332">
        <v>835.81881999999996</v>
      </c>
      <c r="AI46" s="1336"/>
      <c r="AJ46" s="1336"/>
      <c r="AK46" s="1338"/>
      <c r="AL46" s="1339"/>
      <c r="AM46" s="7"/>
    </row>
    <row r="47" spans="1:39" ht="16.5" customHeight="1">
      <c r="A47" s="1325" t="s">
        <v>2220</v>
      </c>
      <c r="B47" s="1326"/>
      <c r="C47" s="1326"/>
      <c r="D47" s="1326"/>
      <c r="L47" s="1261"/>
      <c r="W47" s="1281"/>
      <c r="Y47" s="1318"/>
      <c r="Z47" s="1325" t="s">
        <v>2218</v>
      </c>
      <c r="AA47" s="1326"/>
      <c r="AB47" s="1326"/>
      <c r="AC47" s="1326"/>
      <c r="AG47" s="1325" t="s">
        <v>2219</v>
      </c>
      <c r="AI47" s="1336"/>
      <c r="AJ47" s="1336"/>
      <c r="AK47" s="1338"/>
      <c r="AL47" s="1339"/>
      <c r="AM47" s="7"/>
    </row>
    <row r="48" spans="1:39" ht="16.5" customHeight="1">
      <c r="A48" s="37" t="s">
        <v>1567</v>
      </c>
      <c r="B48" s="37">
        <v>98300</v>
      </c>
      <c r="C48" s="37">
        <v>300</v>
      </c>
      <c r="D48" s="37">
        <v>1.5</v>
      </c>
      <c r="E48" t="s">
        <v>171</v>
      </c>
      <c r="L48" s="1261"/>
      <c r="W48" s="1281"/>
      <c r="Z48" s="37" t="s">
        <v>1319</v>
      </c>
      <c r="AA48" s="37">
        <v>57600</v>
      </c>
      <c r="AB48" s="37">
        <v>5</v>
      </c>
      <c r="AC48" s="37">
        <v>0.1</v>
      </c>
      <c r="AD48" s="1331">
        <v>49.5</v>
      </c>
      <c r="AG48" t="s">
        <v>2220</v>
      </c>
      <c r="AH48" s="1332">
        <v>393.14028999999999</v>
      </c>
      <c r="AI48" s="1336"/>
      <c r="AJ48" s="1336"/>
      <c r="AK48" s="1338"/>
      <c r="AL48" s="1339"/>
      <c r="AM48" s="7"/>
    </row>
    <row r="49" spans="1:39" ht="16.5" customHeight="1">
      <c r="A49" s="37" t="s">
        <v>2224</v>
      </c>
      <c r="B49" s="37">
        <v>94600</v>
      </c>
      <c r="C49" s="37">
        <v>300</v>
      </c>
      <c r="D49" s="37">
        <v>1.5</v>
      </c>
      <c r="E49" s="1331">
        <v>28.2</v>
      </c>
      <c r="F49">
        <f>B49*E49/1000</f>
        <v>2667.72</v>
      </c>
      <c r="L49" s="1261"/>
      <c r="W49" s="1281"/>
      <c r="Z49" s="37" t="s">
        <v>2221</v>
      </c>
      <c r="AA49" s="37">
        <v>73300</v>
      </c>
      <c r="AB49" s="37">
        <v>10</v>
      </c>
      <c r="AC49" s="37">
        <v>0.6</v>
      </c>
      <c r="AD49" s="1331">
        <v>40.200000000000003</v>
      </c>
      <c r="AG49" t="s">
        <v>1569</v>
      </c>
      <c r="AH49" s="1332">
        <v>467.96717999999998</v>
      </c>
      <c r="AI49" s="1336"/>
      <c r="AJ49" s="1337"/>
      <c r="AK49" s="1338"/>
      <c r="AL49" s="1339"/>
      <c r="AM49" s="7"/>
    </row>
    <row r="50" spans="1:39" ht="16.5" customHeight="1">
      <c r="A50" s="37" t="s">
        <v>2225</v>
      </c>
      <c r="B50" s="37">
        <v>94600</v>
      </c>
      <c r="C50" s="37">
        <v>300</v>
      </c>
      <c r="D50" s="37">
        <v>1.5</v>
      </c>
      <c r="E50" t="s">
        <v>171</v>
      </c>
      <c r="L50" s="1261"/>
      <c r="W50" s="1281"/>
      <c r="Z50" s="37" t="s">
        <v>2222</v>
      </c>
      <c r="AA50" s="37">
        <v>73300</v>
      </c>
      <c r="AB50" s="37">
        <v>10</v>
      </c>
      <c r="AC50" s="37">
        <v>0.6</v>
      </c>
      <c r="AD50" s="1331">
        <v>40.200000000000003</v>
      </c>
      <c r="AE50">
        <f>AA50*AD50/1000</f>
        <v>2946.66</v>
      </c>
      <c r="AG50" t="s">
        <v>1380</v>
      </c>
      <c r="AH50" s="1332">
        <v>399.24907000000002</v>
      </c>
      <c r="AI50" s="1336"/>
      <c r="AJ50" s="1337"/>
      <c r="AK50" s="1338"/>
      <c r="AL50" s="1339"/>
      <c r="AM50" s="7"/>
    </row>
    <row r="51" spans="1:39" ht="16.5" customHeight="1">
      <c r="A51" s="37" t="s">
        <v>2226</v>
      </c>
      <c r="B51" s="37">
        <v>96100</v>
      </c>
      <c r="C51" s="37">
        <v>300</v>
      </c>
      <c r="D51" s="37">
        <v>1.5</v>
      </c>
      <c r="E51" t="s">
        <v>171</v>
      </c>
      <c r="L51" s="1261"/>
      <c r="W51" s="1281"/>
      <c r="Z51" s="37" t="s">
        <v>2223</v>
      </c>
      <c r="AA51" s="37">
        <v>73300</v>
      </c>
      <c r="AB51" s="37">
        <v>10</v>
      </c>
      <c r="AC51" s="37">
        <v>0.6</v>
      </c>
      <c r="AD51" t="s">
        <v>171</v>
      </c>
      <c r="AI51" s="1336"/>
      <c r="AJ51" s="1337"/>
      <c r="AK51" s="1338"/>
      <c r="AL51" s="1339"/>
      <c r="AM51" s="7"/>
    </row>
    <row r="52" spans="1:39" ht="16.5" customHeight="1">
      <c r="A52" s="37" t="s">
        <v>2227</v>
      </c>
      <c r="B52" s="37">
        <v>10100</v>
      </c>
      <c r="C52" s="37">
        <v>300</v>
      </c>
      <c r="D52" s="37">
        <v>1.5</v>
      </c>
      <c r="E52" t="s">
        <v>171</v>
      </c>
      <c r="L52" s="1261"/>
      <c r="W52" s="1281"/>
      <c r="Z52" s="1325" t="s">
        <v>2220</v>
      </c>
      <c r="AA52" s="1326"/>
      <c r="AB52" s="1326"/>
      <c r="AC52" s="1326"/>
      <c r="AI52" s="1336"/>
      <c r="AJ52" s="1337"/>
      <c r="AK52" s="1338"/>
      <c r="AL52" s="1339"/>
      <c r="AM52" s="7"/>
    </row>
    <row r="53" spans="1:39" ht="16.5" customHeight="1">
      <c r="A53" s="37" t="s">
        <v>2228</v>
      </c>
      <c r="B53" s="37">
        <v>10700</v>
      </c>
      <c r="C53" s="37">
        <v>300</v>
      </c>
      <c r="D53" s="37">
        <v>1.5</v>
      </c>
      <c r="E53" t="s">
        <v>171</v>
      </c>
      <c r="L53" s="1261"/>
      <c r="W53" s="1281"/>
      <c r="Z53" s="37" t="s">
        <v>1567</v>
      </c>
      <c r="AA53" s="37">
        <v>98300</v>
      </c>
      <c r="AB53" s="37">
        <v>300</v>
      </c>
      <c r="AC53" s="37">
        <v>1.5</v>
      </c>
      <c r="AD53" t="s">
        <v>171</v>
      </c>
      <c r="AI53" s="1336"/>
      <c r="AJ53" s="1337"/>
      <c r="AK53" s="1338"/>
      <c r="AL53" s="1339"/>
      <c r="AM53" s="7"/>
    </row>
    <row r="54" spans="1:39" ht="16.5" customHeight="1">
      <c r="A54" s="37" t="s">
        <v>2229</v>
      </c>
      <c r="B54" s="37">
        <v>97500</v>
      </c>
      <c r="C54" s="37">
        <v>300</v>
      </c>
      <c r="D54" s="37">
        <v>1.5</v>
      </c>
      <c r="E54" t="s">
        <v>171</v>
      </c>
      <c r="L54" s="1263"/>
      <c r="M54" s="1264"/>
      <c r="N54" s="1264"/>
      <c r="O54" s="1264"/>
      <c r="P54" s="1264"/>
      <c r="Q54" s="1264"/>
      <c r="R54" s="1264"/>
      <c r="S54" s="1264"/>
      <c r="T54" s="1264"/>
      <c r="U54" s="1264"/>
      <c r="V54" s="1282"/>
      <c r="W54" s="1283"/>
      <c r="Z54" s="37" t="s">
        <v>2224</v>
      </c>
      <c r="AA54" s="37">
        <v>94600</v>
      </c>
      <c r="AB54" s="37">
        <v>300</v>
      </c>
      <c r="AC54" s="37">
        <v>1.5</v>
      </c>
      <c r="AD54" s="1331">
        <v>28.2</v>
      </c>
      <c r="AE54">
        <f>AA54*AD54/1000</f>
        <v>2667.72</v>
      </c>
      <c r="AI54" s="1336"/>
      <c r="AJ54" s="1337"/>
      <c r="AK54" s="1338"/>
      <c r="AL54" s="1339"/>
      <c r="AM54" s="7"/>
    </row>
    <row r="55" spans="1:39" ht="16.5" customHeight="1">
      <c r="A55" s="37" t="s">
        <v>2230</v>
      </c>
      <c r="B55" s="1327">
        <v>97500</v>
      </c>
      <c r="C55" s="1327">
        <v>300</v>
      </c>
      <c r="D55" s="1327">
        <v>1.5</v>
      </c>
      <c r="E55" t="s">
        <v>171</v>
      </c>
      <c r="Z55" s="37" t="s">
        <v>2225</v>
      </c>
      <c r="AA55" s="37">
        <v>94600</v>
      </c>
      <c r="AB55" s="37">
        <v>300</v>
      </c>
      <c r="AC55" s="37">
        <v>1.5</v>
      </c>
      <c r="AD55" t="s">
        <v>171</v>
      </c>
      <c r="AI55" s="1336"/>
      <c r="AJ55" s="1337"/>
      <c r="AK55" s="1338"/>
      <c r="AL55" s="1339"/>
      <c r="AM55" s="7"/>
    </row>
    <row r="56" spans="1:39" ht="16.5" customHeight="1">
      <c r="A56" s="1325" t="s">
        <v>2231</v>
      </c>
      <c r="B56" s="1326"/>
      <c r="C56" s="1326"/>
      <c r="D56" s="1326"/>
      <c r="Z56" s="37" t="s">
        <v>2226</v>
      </c>
      <c r="AA56" s="37">
        <v>96100</v>
      </c>
      <c r="AB56" s="37">
        <v>300</v>
      </c>
      <c r="AC56" s="37">
        <v>1.5</v>
      </c>
      <c r="AD56" t="s">
        <v>171</v>
      </c>
      <c r="AI56" s="1336"/>
      <c r="AJ56" s="1337"/>
      <c r="AK56" s="1338"/>
      <c r="AL56" s="1339"/>
      <c r="AM56" s="7"/>
    </row>
    <row r="57" spans="1:39" ht="16.5" customHeight="1">
      <c r="A57" s="37" t="s">
        <v>2232</v>
      </c>
      <c r="B57" s="37">
        <v>107000</v>
      </c>
      <c r="C57" s="37">
        <v>300</v>
      </c>
      <c r="D57" s="37">
        <v>1.5</v>
      </c>
      <c r="E57" t="s">
        <v>171</v>
      </c>
      <c r="Y57" s="1318"/>
      <c r="Z57" s="37" t="s">
        <v>2227</v>
      </c>
      <c r="AA57" s="37">
        <v>10100</v>
      </c>
      <c r="AB57" s="37">
        <v>300</v>
      </c>
      <c r="AC57" s="37">
        <v>1.5</v>
      </c>
      <c r="AD57" t="s">
        <v>171</v>
      </c>
      <c r="AI57" s="1338"/>
      <c r="AJ57" s="1340"/>
      <c r="AK57" s="1338"/>
      <c r="AL57" s="1341"/>
      <c r="AM57" s="7"/>
    </row>
    <row r="58" spans="1:39" ht="16.5" customHeight="1">
      <c r="A58" s="37" t="s">
        <v>2233</v>
      </c>
      <c r="B58" s="37">
        <v>107000</v>
      </c>
      <c r="C58" s="37">
        <v>5</v>
      </c>
      <c r="D58" s="37">
        <v>0.1</v>
      </c>
      <c r="E58" t="s">
        <v>171</v>
      </c>
      <c r="Y58" s="1318"/>
      <c r="Z58" s="37" t="s">
        <v>2228</v>
      </c>
      <c r="AA58" s="37">
        <v>10700</v>
      </c>
      <c r="AB58" s="37">
        <v>300</v>
      </c>
      <c r="AC58" s="37">
        <v>1.5</v>
      </c>
      <c r="AD58" t="s">
        <v>171</v>
      </c>
      <c r="AI58" s="1338"/>
      <c r="AJ58" s="1340"/>
      <c r="AK58" s="1338"/>
      <c r="AL58" s="1341"/>
      <c r="AM58" s="7"/>
    </row>
    <row r="59" spans="1:39" ht="16.5" customHeight="1">
      <c r="A59" s="37" t="s">
        <v>2234</v>
      </c>
      <c r="B59" s="37">
        <v>80700</v>
      </c>
      <c r="C59" s="37">
        <v>300</v>
      </c>
      <c r="D59" s="37">
        <v>1.5</v>
      </c>
      <c r="E59" s="1331">
        <v>28</v>
      </c>
      <c r="F59" s="1329">
        <f>B59*E59/1000</f>
        <v>2259.6</v>
      </c>
      <c r="Z59" s="37" t="s">
        <v>2229</v>
      </c>
      <c r="AA59" s="37">
        <v>97500</v>
      </c>
      <c r="AB59" s="37">
        <v>300</v>
      </c>
      <c r="AC59" s="37">
        <v>1.5</v>
      </c>
      <c r="AD59" t="s">
        <v>171</v>
      </c>
      <c r="AI59" s="1333"/>
      <c r="AJ59" s="1334"/>
      <c r="AK59" s="1333"/>
      <c r="AL59" s="1335"/>
      <c r="AM59" s="7"/>
    </row>
    <row r="60" spans="1:39" ht="16.5" customHeight="1">
      <c r="A60" s="1325" t="s">
        <v>2235</v>
      </c>
      <c r="B60" s="1326"/>
      <c r="C60" s="1326"/>
      <c r="D60" s="1326"/>
      <c r="Z60" s="37" t="s">
        <v>2230</v>
      </c>
      <c r="AA60" s="1327">
        <v>97500</v>
      </c>
      <c r="AB60" s="1327">
        <v>300</v>
      </c>
      <c r="AC60" s="1327">
        <v>1.5</v>
      </c>
      <c r="AD60" t="s">
        <v>171</v>
      </c>
      <c r="AI60" s="1336"/>
      <c r="AJ60" s="1337"/>
      <c r="AK60" s="1338"/>
      <c r="AL60" s="1339"/>
      <c r="AM60" s="7"/>
    </row>
    <row r="61" spans="1:39" ht="16.5" customHeight="1">
      <c r="A61" s="37" t="s">
        <v>2236</v>
      </c>
      <c r="B61" s="37">
        <v>44400</v>
      </c>
      <c r="C61" s="37">
        <v>5</v>
      </c>
      <c r="D61" s="37">
        <v>0.1</v>
      </c>
      <c r="E61" t="s">
        <v>171</v>
      </c>
      <c r="K61" s="616" t="s">
        <v>1353</v>
      </c>
      <c r="Z61" s="1325" t="s">
        <v>2231</v>
      </c>
      <c r="AA61" s="1326"/>
      <c r="AB61" s="1326"/>
      <c r="AC61" s="1326"/>
      <c r="AI61" s="1336"/>
      <c r="AJ61" s="1337"/>
      <c r="AK61" s="1338"/>
      <c r="AL61" s="1339"/>
      <c r="AM61" s="7"/>
    </row>
    <row r="62" spans="1:39" ht="16.5" customHeight="1">
      <c r="A62" s="37" t="s">
        <v>2237</v>
      </c>
      <c r="B62" s="37">
        <v>44400</v>
      </c>
      <c r="C62" s="37">
        <v>5</v>
      </c>
      <c r="D62" s="37">
        <v>0.1</v>
      </c>
      <c r="E62" t="s">
        <v>171</v>
      </c>
      <c r="J62" s="616" t="s">
        <v>1354</v>
      </c>
      <c r="K62" s="575">
        <v>0.52644000000000002</v>
      </c>
      <c r="Z62" s="37" t="s">
        <v>2232</v>
      </c>
      <c r="AA62" s="37">
        <v>107000</v>
      </c>
      <c r="AB62" s="37">
        <v>300</v>
      </c>
      <c r="AC62" s="37">
        <v>1.5</v>
      </c>
      <c r="AD62" t="s">
        <v>171</v>
      </c>
      <c r="AI62" s="1336"/>
      <c r="AJ62" s="1337"/>
      <c r="AK62" s="1338"/>
      <c r="AL62" s="1339"/>
      <c r="AM62" s="7"/>
    </row>
    <row r="63" spans="1:39" ht="16.5" customHeight="1">
      <c r="A63" s="37" t="s">
        <v>2238</v>
      </c>
      <c r="B63" s="37">
        <v>260000</v>
      </c>
      <c r="C63" s="37">
        <v>5</v>
      </c>
      <c r="D63" s="37">
        <v>0.1</v>
      </c>
      <c r="E63" t="s">
        <v>171</v>
      </c>
      <c r="Z63" s="37" t="s">
        <v>2233</v>
      </c>
      <c r="AA63" s="37">
        <v>107000</v>
      </c>
      <c r="AB63" s="37">
        <v>5</v>
      </c>
      <c r="AC63" s="37">
        <v>0.1</v>
      </c>
      <c r="AD63" t="s">
        <v>171</v>
      </c>
      <c r="AI63" s="1336"/>
      <c r="AJ63" s="1337"/>
      <c r="AK63" s="1338"/>
      <c r="AL63" s="1339"/>
      <c r="AM63" s="7"/>
    </row>
    <row r="64" spans="1:39" ht="16.5" customHeight="1">
      <c r="A64" s="37" t="s">
        <v>2239</v>
      </c>
      <c r="B64" s="37">
        <v>182000</v>
      </c>
      <c r="C64" s="37">
        <v>5</v>
      </c>
      <c r="D64" s="37">
        <v>0.1</v>
      </c>
      <c r="E64" t="s">
        <v>171</v>
      </c>
      <c r="Z64" s="37" t="s">
        <v>2234</v>
      </c>
      <c r="AA64" s="37">
        <v>80700</v>
      </c>
      <c r="AB64" s="37">
        <v>300</v>
      </c>
      <c r="AC64" s="37">
        <v>1.5</v>
      </c>
      <c r="AD64" s="1331">
        <v>28</v>
      </c>
      <c r="AE64" s="1329">
        <f>AA64*AD64/1000</f>
        <v>2259.6</v>
      </c>
      <c r="AI64" s="1336"/>
      <c r="AJ64" s="1337"/>
      <c r="AK64" s="1338"/>
      <c r="AL64" s="1339"/>
      <c r="AM64" s="7"/>
    </row>
    <row r="65" spans="1:39" ht="16.5" customHeight="1">
      <c r="A65" s="1325" t="s">
        <v>67</v>
      </c>
      <c r="B65" s="1326"/>
      <c r="C65" s="1326"/>
      <c r="D65" s="1326"/>
      <c r="Z65" s="1325" t="s">
        <v>2235</v>
      </c>
      <c r="AA65" s="1326"/>
      <c r="AB65" s="1326"/>
      <c r="AC65" s="1326"/>
      <c r="AI65" s="1336"/>
      <c r="AJ65" s="1337"/>
      <c r="AK65" s="1338"/>
      <c r="AL65" s="1339"/>
      <c r="AM65" s="7"/>
    </row>
    <row r="66" spans="1:39" ht="16.5" customHeight="1">
      <c r="A66" s="37" t="s">
        <v>67</v>
      </c>
      <c r="B66" s="37">
        <v>56100</v>
      </c>
      <c r="C66" s="37">
        <v>5</v>
      </c>
      <c r="D66" s="37">
        <v>0.1</v>
      </c>
      <c r="E66" s="1331">
        <v>44.2</v>
      </c>
      <c r="F66" s="1329">
        <f>B66*E66/1000</f>
        <v>2479.62</v>
      </c>
      <c r="Z66" s="37" t="s">
        <v>2236</v>
      </c>
      <c r="AA66" s="37">
        <v>44400</v>
      </c>
      <c r="AB66" s="37">
        <v>5</v>
      </c>
      <c r="AC66" s="37">
        <v>0.1</v>
      </c>
      <c r="AD66" t="s">
        <v>171</v>
      </c>
      <c r="AI66" s="1336"/>
      <c r="AJ66" s="1337"/>
      <c r="AK66" s="1338"/>
      <c r="AL66" s="1339"/>
      <c r="AM66" s="7"/>
    </row>
    <row r="67" spans="1:39" ht="16.5" customHeight="1">
      <c r="A67" s="37" t="s">
        <v>2240</v>
      </c>
      <c r="B67" s="37">
        <v>91700</v>
      </c>
      <c r="C67" s="37">
        <v>300</v>
      </c>
      <c r="D67" s="37">
        <v>4</v>
      </c>
      <c r="E67" t="s">
        <v>171</v>
      </c>
      <c r="Z67" s="37" t="s">
        <v>2237</v>
      </c>
      <c r="AA67" s="37">
        <v>44400</v>
      </c>
      <c r="AB67" s="37">
        <v>5</v>
      </c>
      <c r="AC67" s="37">
        <v>0.1</v>
      </c>
      <c r="AD67" t="s">
        <v>171</v>
      </c>
      <c r="AI67" s="1336"/>
      <c r="AJ67" s="1337"/>
      <c r="AK67" s="1338"/>
      <c r="AL67" s="1339"/>
      <c r="AM67" s="7"/>
    </row>
    <row r="68" spans="1:39" ht="16.5" customHeight="1">
      <c r="A68" s="37" t="s">
        <v>2241</v>
      </c>
      <c r="B68" s="37">
        <v>143000</v>
      </c>
      <c r="C68" s="37">
        <v>300</v>
      </c>
      <c r="D68" s="37">
        <v>4</v>
      </c>
      <c r="E68" t="s">
        <v>171</v>
      </c>
      <c r="Z68" s="37" t="s">
        <v>2238</v>
      </c>
      <c r="AA68" s="37">
        <v>260000</v>
      </c>
      <c r="AB68" s="37">
        <v>5</v>
      </c>
      <c r="AC68" s="37">
        <v>0.1</v>
      </c>
      <c r="AD68" t="s">
        <v>171</v>
      </c>
      <c r="AI68" s="1336"/>
      <c r="AJ68" s="1337"/>
      <c r="AK68" s="1338"/>
      <c r="AL68" s="1339"/>
      <c r="AM68" s="7"/>
    </row>
    <row r="69" spans="1:39" ht="16.5" customHeight="1">
      <c r="A69" s="37" t="s">
        <v>2242</v>
      </c>
      <c r="B69" s="37">
        <v>73300</v>
      </c>
      <c r="C69" s="37">
        <v>300</v>
      </c>
      <c r="D69" s="37">
        <v>4</v>
      </c>
      <c r="E69" t="s">
        <v>171</v>
      </c>
      <c r="Z69" s="37" t="s">
        <v>2239</v>
      </c>
      <c r="AA69" s="37">
        <v>182000</v>
      </c>
      <c r="AB69" s="37">
        <v>5</v>
      </c>
      <c r="AC69" s="37">
        <v>0.1</v>
      </c>
      <c r="AD69" t="s">
        <v>171</v>
      </c>
      <c r="AI69" s="1336"/>
      <c r="AJ69" s="1337"/>
      <c r="AK69" s="1338"/>
      <c r="AL69" s="1339"/>
      <c r="AM69" s="7"/>
    </row>
    <row r="70" spans="1:39" ht="16.5" customHeight="1">
      <c r="A70" s="37" t="s">
        <v>2243</v>
      </c>
      <c r="B70" s="37">
        <v>106000</v>
      </c>
      <c r="C70" s="37">
        <v>300</v>
      </c>
      <c r="D70" s="37">
        <v>1.4</v>
      </c>
      <c r="E70" t="s">
        <v>171</v>
      </c>
      <c r="Y70" s="1318"/>
      <c r="Z70" s="1325" t="s">
        <v>67</v>
      </c>
      <c r="AA70" s="1326"/>
      <c r="AB70" s="1326"/>
      <c r="AC70" s="1326"/>
      <c r="AI70" s="1336"/>
      <c r="AJ70" s="1337"/>
      <c r="AK70" s="1338"/>
      <c r="AL70" s="1339"/>
      <c r="AM70" s="7"/>
    </row>
    <row r="71" spans="1:39" ht="16.5" customHeight="1">
      <c r="A71" s="1325" t="s">
        <v>2244</v>
      </c>
      <c r="B71" s="1326"/>
      <c r="C71" s="1326"/>
      <c r="D71" s="1326"/>
      <c r="Y71" s="1318"/>
      <c r="Z71" s="37" t="s">
        <v>67</v>
      </c>
      <c r="AA71" s="37">
        <v>56100</v>
      </c>
      <c r="AB71" s="37">
        <v>5</v>
      </c>
      <c r="AC71" s="37">
        <v>0.1</v>
      </c>
      <c r="AD71" s="1331">
        <v>44.2</v>
      </c>
      <c r="AE71" s="1329">
        <f>AA71*AD71/1000</f>
        <v>2479.62</v>
      </c>
      <c r="AI71" s="1336"/>
      <c r="AJ71" s="1337"/>
      <c r="AK71" s="1338"/>
      <c r="AL71" s="1339"/>
      <c r="AM71" s="7"/>
    </row>
    <row r="72" spans="1:39" ht="16.5" customHeight="1">
      <c r="A72" s="37" t="s">
        <v>2245</v>
      </c>
      <c r="B72" s="37">
        <v>112000</v>
      </c>
      <c r="C72" s="37">
        <v>300</v>
      </c>
      <c r="D72" s="37">
        <v>4</v>
      </c>
      <c r="E72" s="1331">
        <v>9.14</v>
      </c>
      <c r="Y72" s="2159"/>
      <c r="Z72" s="37" t="s">
        <v>2240</v>
      </c>
      <c r="AA72" s="37">
        <v>91700</v>
      </c>
      <c r="AB72" s="37">
        <v>300</v>
      </c>
      <c r="AC72" s="37">
        <v>4</v>
      </c>
      <c r="AD72" t="s">
        <v>171</v>
      </c>
      <c r="AI72" s="1336"/>
      <c r="AJ72" s="1337"/>
      <c r="AK72" s="1338"/>
      <c r="AL72" s="1339"/>
      <c r="AM72" s="7"/>
    </row>
    <row r="73" spans="1:39" ht="16.5" customHeight="1">
      <c r="A73" s="37" t="s">
        <v>2246</v>
      </c>
      <c r="B73" s="37">
        <v>95300</v>
      </c>
      <c r="C73" s="37">
        <v>3</v>
      </c>
      <c r="D73" s="37">
        <v>2</v>
      </c>
      <c r="E73" s="1331">
        <v>1</v>
      </c>
      <c r="Y73" s="2159"/>
      <c r="Z73" s="37" t="s">
        <v>2241</v>
      </c>
      <c r="AA73" s="37">
        <v>143000</v>
      </c>
      <c r="AB73" s="37">
        <v>300</v>
      </c>
      <c r="AC73" s="37">
        <v>4</v>
      </c>
      <c r="AD73" t="s">
        <v>171</v>
      </c>
      <c r="AI73" s="1336"/>
      <c r="AJ73" s="1337"/>
      <c r="AK73" s="1338"/>
      <c r="AL73" s="1339"/>
      <c r="AM73" s="7"/>
    </row>
    <row r="74" spans="1:39" ht="16.5" customHeight="1">
      <c r="A74" s="37" t="s">
        <v>2247</v>
      </c>
      <c r="B74" s="37">
        <v>100000</v>
      </c>
      <c r="C74" s="37">
        <v>300</v>
      </c>
      <c r="D74" s="37">
        <v>4</v>
      </c>
      <c r="E74" t="s">
        <v>171</v>
      </c>
      <c r="Y74" s="1324"/>
      <c r="Z74" s="37" t="s">
        <v>2242</v>
      </c>
      <c r="AA74" s="37">
        <v>73300</v>
      </c>
      <c r="AB74" s="37">
        <v>300</v>
      </c>
      <c r="AC74" s="37">
        <v>4</v>
      </c>
      <c r="AD74" t="s">
        <v>171</v>
      </c>
      <c r="AI74" s="1336"/>
      <c r="AJ74" s="1337"/>
      <c r="AK74" s="1338"/>
      <c r="AL74" s="1339"/>
      <c r="AM74" s="7"/>
    </row>
    <row r="75" spans="1:39" ht="16.5" customHeight="1">
      <c r="A75" s="37" t="s">
        <v>1583</v>
      </c>
      <c r="B75" s="37">
        <v>112000</v>
      </c>
      <c r="C75" s="37">
        <v>200</v>
      </c>
      <c r="D75" s="37">
        <v>1</v>
      </c>
      <c r="E75" t="s">
        <v>171</v>
      </c>
      <c r="Y75" s="1324"/>
      <c r="Z75" s="37" t="s">
        <v>2243</v>
      </c>
      <c r="AA75" s="37">
        <v>106000</v>
      </c>
      <c r="AB75" s="37">
        <v>300</v>
      </c>
      <c r="AC75" s="37">
        <v>1.4</v>
      </c>
      <c r="AD75" t="s">
        <v>171</v>
      </c>
      <c r="AI75" s="1336"/>
      <c r="AJ75" s="1337"/>
      <c r="AK75" s="1338"/>
      <c r="AL75" s="1339"/>
      <c r="AM75" s="7"/>
    </row>
    <row r="76" spans="1:39" ht="16.5" customHeight="1">
      <c r="A76" s="1325" t="s">
        <v>2248</v>
      </c>
      <c r="B76" s="1326"/>
      <c r="C76" s="1326"/>
      <c r="D76" s="1326"/>
      <c r="Y76" s="1317"/>
      <c r="Z76" s="1325" t="s">
        <v>2244</v>
      </c>
      <c r="AA76" s="1326"/>
      <c r="AB76" s="1326"/>
      <c r="AC76" s="1326"/>
      <c r="AI76" s="1336"/>
      <c r="AJ76" s="1337"/>
      <c r="AK76" s="1338"/>
      <c r="AL76" s="1339"/>
      <c r="AM76" s="7"/>
    </row>
    <row r="77" spans="1:39" ht="16.5" customHeight="1">
      <c r="A77" s="37" t="s">
        <v>2249</v>
      </c>
      <c r="B77" s="37">
        <v>70800</v>
      </c>
      <c r="C77" s="37">
        <v>10</v>
      </c>
      <c r="D77" s="37">
        <v>0.6</v>
      </c>
      <c r="E77" s="1331">
        <v>26.8</v>
      </c>
      <c r="Y77" s="1324"/>
      <c r="Z77" s="37" t="s">
        <v>2245</v>
      </c>
      <c r="AA77" s="37">
        <v>112000</v>
      </c>
      <c r="AB77" s="37">
        <v>300</v>
      </c>
      <c r="AC77" s="37">
        <v>4</v>
      </c>
      <c r="AD77" s="1331">
        <v>9.14</v>
      </c>
      <c r="AI77" s="1336"/>
      <c r="AJ77" s="1337"/>
      <c r="AK77" s="1338"/>
      <c r="AL77" s="1339"/>
      <c r="AM77" s="7"/>
    </row>
    <row r="78" spans="1:39" ht="16.5" customHeight="1">
      <c r="A78" s="37" t="s">
        <v>2250</v>
      </c>
      <c r="B78" s="37">
        <v>70800</v>
      </c>
      <c r="C78" s="37">
        <v>10</v>
      </c>
      <c r="D78" s="37">
        <v>0.6</v>
      </c>
      <c r="E78" s="1331">
        <v>36.799999999999997</v>
      </c>
      <c r="Y78" s="1324"/>
      <c r="Z78" s="37" t="s">
        <v>2246</v>
      </c>
      <c r="AA78" s="37">
        <v>95300</v>
      </c>
      <c r="AB78" s="37">
        <v>3</v>
      </c>
      <c r="AC78" s="37">
        <v>2</v>
      </c>
      <c r="AD78" s="1331">
        <v>1</v>
      </c>
      <c r="AI78" s="1336"/>
      <c r="AJ78" s="1337"/>
      <c r="AK78" s="1338"/>
      <c r="AL78" s="1339"/>
      <c r="AM78" s="7"/>
    </row>
    <row r="79" spans="1:39" ht="16.5" customHeight="1">
      <c r="A79" s="37" t="s">
        <v>2251</v>
      </c>
      <c r="B79" s="37">
        <v>79600</v>
      </c>
      <c r="C79" s="37">
        <v>10</v>
      </c>
      <c r="D79" s="37">
        <v>0.6</v>
      </c>
      <c r="E79" s="1331">
        <v>27.4</v>
      </c>
      <c r="Y79" s="1317"/>
      <c r="Z79" s="37" t="s">
        <v>2247</v>
      </c>
      <c r="AA79" s="37">
        <v>100000</v>
      </c>
      <c r="AB79" s="37">
        <v>300</v>
      </c>
      <c r="AC79" s="37">
        <v>4</v>
      </c>
      <c r="AD79" t="s">
        <v>171</v>
      </c>
      <c r="AI79" s="1336"/>
      <c r="AJ79" s="1337"/>
      <c r="AK79" s="1338"/>
      <c r="AL79" s="1339"/>
      <c r="AM79" s="7"/>
    </row>
    <row r="80" spans="1:39" ht="16.5" customHeight="1">
      <c r="A80" s="1325" t="s">
        <v>2252</v>
      </c>
      <c r="B80" s="1326"/>
      <c r="C80" s="1326"/>
      <c r="D80" s="1326"/>
      <c r="Z80" s="37" t="s">
        <v>1583</v>
      </c>
      <c r="AA80" s="37">
        <v>112000</v>
      </c>
      <c r="AB80" s="37">
        <v>200</v>
      </c>
      <c r="AC80" s="37">
        <v>1</v>
      </c>
      <c r="AD80" t="s">
        <v>171</v>
      </c>
      <c r="AI80" s="1336"/>
      <c r="AJ80" s="1337"/>
      <c r="AK80" s="1338"/>
      <c r="AL80" s="1339"/>
      <c r="AM80" s="7"/>
    </row>
    <row r="81" spans="1:39" ht="16.5" customHeight="1">
      <c r="A81" s="37" t="s">
        <v>2253</v>
      </c>
      <c r="B81" s="37">
        <v>54600</v>
      </c>
      <c r="C81" s="37">
        <v>5</v>
      </c>
      <c r="D81" s="37">
        <v>0.1</v>
      </c>
      <c r="E81" t="s">
        <v>171</v>
      </c>
      <c r="Z81" s="1325" t="s">
        <v>2248</v>
      </c>
      <c r="AA81" s="1326"/>
      <c r="AB81" s="1326"/>
      <c r="AC81" s="1326"/>
      <c r="AI81" s="1336"/>
      <c r="AJ81" s="1337"/>
      <c r="AK81" s="1338"/>
      <c r="AL81" s="1339"/>
      <c r="AM81" s="7"/>
    </row>
    <row r="82" spans="1:39" ht="16.5" customHeight="1">
      <c r="A82" s="37" t="s">
        <v>2254</v>
      </c>
      <c r="B82" s="37">
        <v>54600</v>
      </c>
      <c r="C82" s="37">
        <v>5</v>
      </c>
      <c r="D82" s="37">
        <v>0.1</v>
      </c>
      <c r="E82" t="s">
        <v>171</v>
      </c>
      <c r="Z82" s="37" t="s">
        <v>2249</v>
      </c>
      <c r="AA82" s="37">
        <v>70800</v>
      </c>
      <c r="AB82" s="37">
        <v>10</v>
      </c>
      <c r="AC82" s="37">
        <v>0.6</v>
      </c>
      <c r="AD82" s="1331">
        <v>26.8</v>
      </c>
      <c r="AI82" s="1336"/>
      <c r="AJ82" s="1337"/>
      <c r="AK82" s="1338"/>
      <c r="AL82" s="1339"/>
      <c r="AM82" s="7"/>
    </row>
    <row r="83" spans="1:39" ht="16.5" customHeight="1">
      <c r="A83" s="37" t="s">
        <v>2255</v>
      </c>
      <c r="B83" s="37">
        <v>54600</v>
      </c>
      <c r="C83" s="37">
        <v>5</v>
      </c>
      <c r="D83" s="37">
        <v>0.1</v>
      </c>
      <c r="E83" s="1331">
        <v>1</v>
      </c>
      <c r="Z83" s="37" t="s">
        <v>2250</v>
      </c>
      <c r="AA83" s="37">
        <v>70800</v>
      </c>
      <c r="AB83" s="37">
        <v>10</v>
      </c>
      <c r="AC83" s="37">
        <v>0.6</v>
      </c>
      <c r="AD83" s="1331">
        <v>36.799999999999997</v>
      </c>
      <c r="AI83" s="1336"/>
      <c r="AJ83" s="1337"/>
      <c r="AK83" s="1338"/>
      <c r="AL83" s="1339"/>
      <c r="AM83" s="7"/>
    </row>
    <row r="84" spans="1:39" ht="16.5" customHeight="1">
      <c r="A84" s="1325" t="s">
        <v>2256</v>
      </c>
      <c r="B84" s="1326"/>
      <c r="C84" s="1326"/>
      <c r="D84" s="1326"/>
      <c r="Z84" s="37" t="s">
        <v>2251</v>
      </c>
      <c r="AA84" s="37">
        <v>79600</v>
      </c>
      <c r="AB84" s="37">
        <v>10</v>
      </c>
      <c r="AC84" s="37">
        <v>0.6</v>
      </c>
      <c r="AD84" s="1331">
        <v>27.4</v>
      </c>
      <c r="AI84" s="1336"/>
      <c r="AJ84" s="1337"/>
      <c r="AK84" s="1338"/>
      <c r="AL84" s="1339"/>
      <c r="AM84" s="7"/>
    </row>
    <row r="85" spans="1:39" ht="16.5" customHeight="1">
      <c r="A85" s="37" t="s">
        <v>2257</v>
      </c>
      <c r="B85" s="37">
        <v>100000</v>
      </c>
      <c r="C85" s="37">
        <v>300</v>
      </c>
      <c r="D85" s="37">
        <v>4</v>
      </c>
      <c r="E85" s="1331">
        <v>1</v>
      </c>
      <c r="Z85" s="1325" t="s">
        <v>2252</v>
      </c>
      <c r="AA85" s="1326"/>
      <c r="AB85" s="1326"/>
      <c r="AC85" s="1326"/>
      <c r="AI85" s="1336"/>
      <c r="AJ85" s="1337"/>
      <c r="AK85" s="1338"/>
      <c r="AL85" s="1339"/>
      <c r="AM85" s="7"/>
    </row>
    <row r="86" spans="1:39" ht="16.5" customHeight="1">
      <c r="A86" s="1328" t="s">
        <v>2258</v>
      </c>
      <c r="B86" t="s">
        <v>1880</v>
      </c>
      <c r="Z86" s="37" t="s">
        <v>2253</v>
      </c>
      <c r="AA86" s="37">
        <v>54600</v>
      </c>
      <c r="AB86" s="37">
        <v>5</v>
      </c>
      <c r="AC86" s="37">
        <v>0.1</v>
      </c>
      <c r="AD86" t="s">
        <v>171</v>
      </c>
      <c r="AI86" s="1336"/>
      <c r="AJ86" s="1337"/>
      <c r="AK86" s="1338"/>
      <c r="AL86" s="1339"/>
      <c r="AM86" s="7"/>
    </row>
    <row r="87" spans="1:39" ht="16.5" customHeight="1">
      <c r="B87" s="10" t="s">
        <v>1881</v>
      </c>
      <c r="Z87" s="37" t="s">
        <v>2254</v>
      </c>
      <c r="AA87" s="37">
        <v>54600</v>
      </c>
      <c r="AB87" s="37">
        <v>5</v>
      </c>
      <c r="AC87" s="37">
        <v>0.1</v>
      </c>
      <c r="AD87" t="s">
        <v>171</v>
      </c>
      <c r="AI87" s="1336"/>
      <c r="AJ87" s="1337"/>
      <c r="AK87" s="1338"/>
      <c r="AL87" s="1339"/>
      <c r="AM87" s="7"/>
    </row>
    <row r="88" spans="1:39" ht="16.5" customHeight="1">
      <c r="A88" s="1345"/>
      <c r="B88" s="1344"/>
      <c r="C88" s="1344"/>
      <c r="D88" s="7"/>
      <c r="E88" s="7"/>
      <c r="F88" s="7"/>
      <c r="G88" s="7"/>
      <c r="Z88" s="37" t="s">
        <v>2255</v>
      </c>
      <c r="AA88" s="37">
        <v>54600</v>
      </c>
      <c r="AB88" s="37">
        <v>5</v>
      </c>
      <c r="AC88" s="37">
        <v>0.1</v>
      </c>
      <c r="AD88" s="1331">
        <v>1</v>
      </c>
      <c r="AI88" s="1336"/>
      <c r="AJ88" s="1337"/>
      <c r="AK88" s="1338"/>
      <c r="AL88" s="1339"/>
      <c r="AM88" s="7"/>
    </row>
    <row r="89" spans="1:39" ht="16.5" customHeight="1">
      <c r="A89" s="4"/>
      <c r="Z89" s="1325" t="s">
        <v>2256</v>
      </c>
      <c r="AA89" s="1326"/>
      <c r="AB89" s="1326"/>
      <c r="AC89" s="1326"/>
      <c r="AI89" s="1336"/>
      <c r="AJ89" s="1337"/>
      <c r="AK89" s="1338"/>
      <c r="AL89" s="1342"/>
      <c r="AM89" s="7"/>
    </row>
    <row r="90" spans="1:39" ht="16.5" customHeight="1">
      <c r="A90" s="1802" t="s">
        <v>71</v>
      </c>
      <c r="B90" s="1803"/>
      <c r="C90" s="1803"/>
      <c r="D90" s="1803"/>
      <c r="E90" s="1803"/>
      <c r="F90" s="1803"/>
      <c r="G90" s="1803"/>
      <c r="H90" s="1803"/>
      <c r="I90" s="1803"/>
      <c r="J90" s="1803"/>
      <c r="K90" s="1803"/>
      <c r="L90" s="1803"/>
      <c r="M90" s="1803"/>
      <c r="N90" s="1803"/>
      <c r="O90" s="1803"/>
      <c r="P90" s="1803"/>
      <c r="Q90" s="1804"/>
      <c r="Z90" s="37" t="s">
        <v>2257</v>
      </c>
      <c r="AA90" s="37">
        <v>100000</v>
      </c>
      <c r="AB90" s="37">
        <v>300</v>
      </c>
      <c r="AC90" s="37">
        <v>4</v>
      </c>
      <c r="AD90" s="1331">
        <v>1</v>
      </c>
      <c r="AI90" s="1336"/>
      <c r="AJ90" s="1337"/>
      <c r="AK90" s="1338"/>
      <c r="AL90" s="1339"/>
      <c r="AM90" s="7"/>
    </row>
    <row r="91" spans="1:39" ht="15.75" thickBot="1">
      <c r="Z91" s="1328" t="s">
        <v>2258</v>
      </c>
      <c r="AA91" t="s">
        <v>1880</v>
      </c>
      <c r="AI91" s="1336"/>
      <c r="AJ91" s="1337"/>
      <c r="AK91" s="1338"/>
      <c r="AL91" s="1339"/>
      <c r="AM91" s="7"/>
    </row>
    <row r="92" spans="1:39" ht="15.75" thickBot="1">
      <c r="A92" s="579" t="s">
        <v>1396</v>
      </c>
      <c r="B92" s="580" t="s">
        <v>1397</v>
      </c>
      <c r="C92" s="580" t="s">
        <v>1398</v>
      </c>
      <c r="D92" s="610" t="s">
        <v>1399</v>
      </c>
      <c r="E92" s="611" t="s">
        <v>1400</v>
      </c>
      <c r="F92" s="610" t="s">
        <v>1401</v>
      </c>
      <c r="AA92" s="10" t="s">
        <v>1881</v>
      </c>
      <c r="AI92" s="1336"/>
      <c r="AJ92" s="1337"/>
      <c r="AK92" s="1338"/>
      <c r="AL92" s="1339"/>
      <c r="AM92" s="7"/>
    </row>
    <row r="93" spans="1:39">
      <c r="A93" s="582" t="s">
        <v>72</v>
      </c>
      <c r="B93" s="1353">
        <v>1296</v>
      </c>
      <c r="C93">
        <v>1.32</v>
      </c>
      <c r="D93" s="612" t="s">
        <v>1402</v>
      </c>
      <c r="E93" s="586">
        <v>22.5</v>
      </c>
      <c r="F93" s="612">
        <f>E93*0.425144</f>
        <v>9.5657399999999999</v>
      </c>
      <c r="G93" s="1356" t="s">
        <v>2058</v>
      </c>
      <c r="AI93" s="1336"/>
      <c r="AJ93" s="1337"/>
      <c r="AK93" s="1338"/>
      <c r="AL93" s="1342"/>
      <c r="AM93" s="7"/>
    </row>
    <row r="94" spans="1:39">
      <c r="A94" s="585" t="s">
        <v>70</v>
      </c>
      <c r="B94" s="1354">
        <v>1025</v>
      </c>
      <c r="C94">
        <v>1.0449999999999999</v>
      </c>
      <c r="D94" s="612" t="s">
        <v>1403</v>
      </c>
      <c r="E94" s="586">
        <v>16.2</v>
      </c>
      <c r="F94" s="612">
        <f t="shared" ref="F94:F95" si="2">E94*0.425144</f>
        <v>6.8873328000000003</v>
      </c>
      <c r="G94" s="1356"/>
      <c r="AI94" s="1336"/>
      <c r="AJ94" s="1337"/>
      <c r="AK94" s="1338"/>
      <c r="AL94" s="1339"/>
      <c r="AM94" s="7"/>
    </row>
    <row r="95" spans="1:39">
      <c r="A95" s="605" t="s">
        <v>68</v>
      </c>
      <c r="B95" s="1355">
        <v>586</v>
      </c>
      <c r="C95">
        <v>0.60699999999999998</v>
      </c>
      <c r="D95" s="612" t="s">
        <v>1404</v>
      </c>
      <c r="E95" s="588">
        <v>8.8000000000000007</v>
      </c>
      <c r="F95" s="612">
        <f t="shared" si="2"/>
        <v>3.7412672000000007</v>
      </c>
      <c r="AI95" s="1336"/>
      <c r="AJ95" s="1337"/>
      <c r="AK95" s="1338"/>
      <c r="AL95" s="1339"/>
      <c r="AM95" s="7"/>
    </row>
    <row r="96" spans="1:39" ht="15" customHeight="1">
      <c r="A96" s="606"/>
      <c r="B96" s="607"/>
      <c r="AI96" s="1336"/>
      <c r="AJ96" s="1337"/>
      <c r="AK96" s="1338"/>
      <c r="AL96" s="1339"/>
      <c r="AM96" s="7"/>
    </row>
    <row r="97" spans="1:39">
      <c r="A97" t="s">
        <v>1405</v>
      </c>
      <c r="B97" s="609"/>
      <c r="D97" s="10" t="s">
        <v>1406</v>
      </c>
      <c r="AI97" s="1336"/>
      <c r="AJ97" s="1337"/>
      <c r="AK97" s="1338"/>
      <c r="AL97" s="1339"/>
      <c r="AM97" s="7"/>
    </row>
    <row r="98" spans="1:39">
      <c r="A98" s="1348" t="s">
        <v>2259</v>
      </c>
      <c r="B98" s="609"/>
      <c r="AI98" s="1336"/>
      <c r="AJ98" s="1337"/>
      <c r="AK98" s="1338"/>
      <c r="AL98" s="1339"/>
      <c r="AM98" s="7"/>
    </row>
    <row r="99" spans="1:39">
      <c r="A99" s="1352">
        <v>45352</v>
      </c>
      <c r="B99" s="609"/>
      <c r="AI99" s="1336"/>
      <c r="AJ99" s="1337"/>
      <c r="AK99" s="1338"/>
      <c r="AL99" s="1339"/>
      <c r="AM99" s="7"/>
    </row>
    <row r="100" spans="1:39" ht="23.25">
      <c r="A100" s="1802" t="s">
        <v>1408</v>
      </c>
      <c r="B100" s="1803"/>
      <c r="C100" s="1803"/>
      <c r="D100" s="1803"/>
      <c r="E100" s="1803"/>
      <c r="F100" s="1803"/>
      <c r="G100" s="1803"/>
      <c r="H100" s="1803"/>
      <c r="I100" s="1803"/>
      <c r="J100" s="1803"/>
      <c r="K100" s="1803"/>
      <c r="L100" s="1803"/>
      <c r="M100" s="1803"/>
      <c r="N100" s="1803"/>
      <c r="O100" s="1803"/>
      <c r="P100" s="1803"/>
      <c r="Q100" s="1804"/>
      <c r="AI100" s="1336"/>
      <c r="AJ100" s="1337"/>
      <c r="AK100" s="1338"/>
      <c r="AL100" s="1339"/>
      <c r="AM100" s="7"/>
    </row>
    <row r="101" spans="1:39">
      <c r="A101" s="1864" t="s">
        <v>1409</v>
      </c>
      <c r="B101" s="1865"/>
      <c r="C101" s="1865"/>
      <c r="D101" s="1865"/>
      <c r="E101" s="1865"/>
      <c r="F101" s="1866"/>
      <c r="AI101" s="1336"/>
      <c r="AJ101" s="1337"/>
      <c r="AK101" s="1338"/>
      <c r="AL101" s="1339"/>
      <c r="AM101" s="7"/>
    </row>
    <row r="102" spans="1:39" ht="15.75">
      <c r="A102" s="1867" t="s">
        <v>1410</v>
      </c>
      <c r="B102" s="1868"/>
      <c r="C102" s="1868"/>
      <c r="D102" s="1868"/>
      <c r="E102" s="1868"/>
      <c r="F102" s="1869"/>
      <c r="AI102" s="1336"/>
      <c r="AJ102" s="1337"/>
      <c r="AK102" s="1338"/>
      <c r="AL102" s="1339"/>
      <c r="AM102" s="7"/>
    </row>
    <row r="103" spans="1:39">
      <c r="A103" s="1870" t="s">
        <v>1411</v>
      </c>
      <c r="B103" s="1871"/>
      <c r="C103" s="1871"/>
      <c r="D103" s="1871"/>
      <c r="E103" s="1871"/>
      <c r="F103" s="1872"/>
      <c r="AI103" s="1336"/>
      <c r="AJ103" s="1337"/>
      <c r="AK103" s="1338"/>
      <c r="AL103" s="1339"/>
      <c r="AM103" s="7"/>
    </row>
    <row r="104" spans="1:39">
      <c r="A104" s="6" t="s">
        <v>1412</v>
      </c>
      <c r="AI104" s="1336"/>
      <c r="AJ104" s="1337"/>
      <c r="AK104" s="1338"/>
      <c r="AL104" s="1339"/>
      <c r="AM104" s="7"/>
    </row>
    <row r="105" spans="1:39">
      <c r="A105" s="6"/>
      <c r="AI105" s="1336"/>
      <c r="AJ105" s="1337"/>
      <c r="AK105" s="1338"/>
      <c r="AL105" s="1339"/>
      <c r="AM105" s="7"/>
    </row>
    <row r="106" spans="1:39" ht="37.5">
      <c r="A106" s="257" t="s">
        <v>1413</v>
      </c>
      <c r="B106" s="257" t="s">
        <v>1414</v>
      </c>
      <c r="AI106" s="1336"/>
      <c r="AJ106" s="1337"/>
      <c r="AK106" s="1338"/>
      <c r="AL106" s="1339"/>
      <c r="AM106" s="7"/>
    </row>
    <row r="107" spans="1:39" ht="15.75">
      <c r="A107" s="254">
        <v>0.01</v>
      </c>
      <c r="B107" s="254">
        <v>1.5713999999999999</v>
      </c>
      <c r="AI107" s="1336"/>
      <c r="AJ107" s="1337"/>
      <c r="AK107" s="1338"/>
      <c r="AL107" s="1339"/>
      <c r="AM107" s="7"/>
    </row>
    <row r="108" spans="1:39">
      <c r="AI108" s="1336"/>
      <c r="AJ108" s="1337"/>
      <c r="AK108" s="1338"/>
      <c r="AL108" s="1339"/>
      <c r="AM108" s="7"/>
    </row>
    <row r="109" spans="1:39" ht="37.5">
      <c r="A109" s="257" t="s">
        <v>1416</v>
      </c>
      <c r="B109" s="257" t="s">
        <v>1414</v>
      </c>
      <c r="AD109" s="1267">
        <v>4.0356000000000003E-2</v>
      </c>
      <c r="AI109" s="1336"/>
      <c r="AJ109" s="1337"/>
      <c r="AK109" s="1338"/>
      <c r="AL109" s="1339"/>
      <c r="AM109" s="7"/>
    </row>
    <row r="110" spans="1:39" ht="42.75">
      <c r="A110" s="254">
        <v>7.4999999999999997E-3</v>
      </c>
      <c r="B110" s="254">
        <v>1.5713999999999999</v>
      </c>
      <c r="AA110" s="1245" t="s">
        <v>2260</v>
      </c>
      <c r="AB110" t="s">
        <v>722</v>
      </c>
      <c r="AC110" t="s">
        <v>2261</v>
      </c>
      <c r="AD110">
        <v>1.9421999999999999</v>
      </c>
      <c r="AE110" t="s">
        <v>2262</v>
      </c>
      <c r="AF110" s="10" t="s">
        <v>2263</v>
      </c>
      <c r="AI110" s="1336"/>
      <c r="AJ110" s="1337"/>
      <c r="AK110" s="1338"/>
      <c r="AL110" s="1339"/>
      <c r="AM110" s="7"/>
    </row>
    <row r="111" spans="1:39" ht="28.5">
      <c r="A111" s="6" t="s">
        <v>1412</v>
      </c>
      <c r="AA111" s="1245" t="s">
        <v>2264</v>
      </c>
      <c r="AB111" t="s">
        <v>722</v>
      </c>
      <c r="AC111" t="s">
        <v>2261</v>
      </c>
      <c r="AD111">
        <v>1.8284</v>
      </c>
      <c r="AE111" t="s">
        <v>2262</v>
      </c>
      <c r="AF111" s="10" t="s">
        <v>2265</v>
      </c>
      <c r="AI111" s="1336"/>
      <c r="AJ111" s="1337"/>
      <c r="AK111" s="1338"/>
      <c r="AL111" s="1339"/>
      <c r="AM111" s="7"/>
    </row>
    <row r="112" spans="1:39">
      <c r="A112" s="6"/>
      <c r="AI112" s="1336"/>
      <c r="AJ112" s="1337"/>
      <c r="AK112" s="1338"/>
      <c r="AL112" s="1339"/>
      <c r="AM112" s="7"/>
    </row>
    <row r="113" spans="1:39" s="22" customFormat="1" ht="15.75">
      <c r="A113" s="669" t="s">
        <v>1417</v>
      </c>
      <c r="B113" s="669" t="s">
        <v>967</v>
      </c>
      <c r="C113" s="669" t="s">
        <v>1418</v>
      </c>
      <c r="D113" s="669" t="s">
        <v>1340</v>
      </c>
      <c r="F113" s="264"/>
      <c r="V113" s="1284"/>
      <c r="W113" s="1284"/>
      <c r="Z113" s="669" t="s">
        <v>1417</v>
      </c>
      <c r="AA113" s="669" t="s">
        <v>967</v>
      </c>
      <c r="AB113" s="669" t="s">
        <v>1418</v>
      </c>
      <c r="AC113" s="669" t="s">
        <v>1340</v>
      </c>
      <c r="AI113" s="1336"/>
      <c r="AJ113" s="1337"/>
      <c r="AK113" s="1338"/>
      <c r="AL113" s="1342"/>
      <c r="AM113" s="261"/>
    </row>
    <row r="114" spans="1:39" s="22" customFormat="1" ht="63">
      <c r="A114" s="670" t="s">
        <v>548</v>
      </c>
      <c r="B114" s="671" t="s">
        <v>1419</v>
      </c>
      <c r="C114">
        <v>1.9421999999999999</v>
      </c>
      <c r="D114" s="266" t="s">
        <v>1420</v>
      </c>
      <c r="F114" s="1357" t="s">
        <v>2058</v>
      </c>
      <c r="V114" s="1284"/>
      <c r="W114" s="1284" t="s">
        <v>2266</v>
      </c>
      <c r="Z114" s="670" t="s">
        <v>548</v>
      </c>
      <c r="AA114" s="671" t="s">
        <v>1419</v>
      </c>
      <c r="AB114">
        <v>1.9421999999999999</v>
      </c>
      <c r="AC114" s="266" t="s">
        <v>1420</v>
      </c>
      <c r="AI114" s="1336"/>
      <c r="AJ114" s="1337"/>
      <c r="AK114" s="1338"/>
      <c r="AL114" s="1339"/>
      <c r="AM114" s="261"/>
    </row>
    <row r="115" spans="1:39" s="22" customFormat="1" ht="63">
      <c r="A115" s="670" t="s">
        <v>549</v>
      </c>
      <c r="B115" s="671" t="s">
        <v>1422</v>
      </c>
      <c r="C115">
        <v>1.8284</v>
      </c>
      <c r="D115" s="266" t="s">
        <v>1420</v>
      </c>
      <c r="F115" s="1357"/>
      <c r="V115" s="1284"/>
      <c r="W115" s="1284"/>
      <c r="Z115" s="670" t="s">
        <v>549</v>
      </c>
      <c r="AA115" s="671" t="s">
        <v>1422</v>
      </c>
      <c r="AB115">
        <v>1.8284</v>
      </c>
      <c r="AC115" s="266" t="s">
        <v>1420</v>
      </c>
      <c r="AI115" s="1336"/>
      <c r="AJ115" s="1337"/>
      <c r="AK115" s="1338"/>
      <c r="AL115" s="1339"/>
      <c r="AM115" s="261"/>
    </row>
    <row r="116" spans="1:39" s="22" customFormat="1" ht="47.25">
      <c r="A116" s="670" t="s">
        <v>550</v>
      </c>
      <c r="B116" s="671" t="s">
        <v>1423</v>
      </c>
      <c r="C116" s="1343">
        <v>4.1792000000000003E-2</v>
      </c>
      <c r="D116" s="266" t="s">
        <v>1420</v>
      </c>
      <c r="F116" s="1357"/>
      <c r="V116" s="1284"/>
      <c r="W116" s="1284"/>
      <c r="Z116" s="670" t="s">
        <v>550</v>
      </c>
      <c r="AA116" s="671" t="s">
        <v>1423</v>
      </c>
      <c r="AB116" s="1343">
        <v>4.1792000000000003E-2</v>
      </c>
      <c r="AC116" s="266" t="s">
        <v>1420</v>
      </c>
      <c r="AI116" s="1336"/>
      <c r="AJ116" s="1337"/>
      <c r="AK116" s="1338"/>
      <c r="AL116" s="1339"/>
      <c r="AM116" s="261"/>
    </row>
    <row r="117" spans="1:39">
      <c r="A117" s="6"/>
      <c r="AI117" s="1336"/>
      <c r="AJ117" s="1337"/>
      <c r="AK117" s="1338"/>
      <c r="AL117" s="1342"/>
      <c r="AM117" s="7"/>
    </row>
    <row r="118" spans="1:39" ht="23.25">
      <c r="A118" s="1802" t="s">
        <v>1424</v>
      </c>
      <c r="B118" s="1803"/>
      <c r="C118" s="1803"/>
      <c r="D118" s="1803"/>
      <c r="E118" s="1803"/>
      <c r="F118" s="1803"/>
      <c r="G118" s="1803"/>
      <c r="H118" s="1803"/>
      <c r="I118" s="1803"/>
      <c r="J118" s="1803"/>
      <c r="K118" s="1803"/>
      <c r="L118" s="1803"/>
      <c r="M118" s="1803"/>
      <c r="N118" s="1803"/>
      <c r="O118" s="1803"/>
      <c r="P118" s="1803"/>
      <c r="Q118" s="1804"/>
      <c r="AI118" s="1336"/>
      <c r="AJ118" s="1337"/>
      <c r="AK118" s="1338"/>
      <c r="AL118" s="1339"/>
      <c r="AM118" s="7"/>
    </row>
    <row r="119" spans="1:39">
      <c r="A119" s="3"/>
      <c r="B119" s="3"/>
      <c r="AI119" s="1336"/>
      <c r="AJ119" s="1337"/>
      <c r="AK119" s="1338"/>
      <c r="AL119" s="1339"/>
      <c r="AM119" s="7"/>
    </row>
    <row r="120" spans="1:39">
      <c r="A120" s="6" t="s">
        <v>1425</v>
      </c>
      <c r="AI120" s="1336"/>
      <c r="AJ120" s="1337"/>
      <c r="AK120" s="1338"/>
      <c r="AL120" s="1339"/>
      <c r="AM120" s="7"/>
    </row>
    <row r="121" spans="1:39">
      <c r="AI121" s="1336"/>
      <c r="AJ121" s="1337"/>
      <c r="AK121" s="1338"/>
      <c r="AL121" s="1339"/>
      <c r="AM121" s="7"/>
    </row>
    <row r="122" spans="1:39">
      <c r="AI122" s="1336"/>
      <c r="AJ122" s="1337"/>
      <c r="AK122" s="1338"/>
      <c r="AL122" s="1339"/>
      <c r="AM122" s="7"/>
    </row>
    <row r="123" spans="1:39" ht="15.75">
      <c r="D123" s="669" t="s">
        <v>1417</v>
      </c>
      <c r="E123" s="669" t="s">
        <v>967</v>
      </c>
      <c r="F123" s="669" t="s">
        <v>1426</v>
      </c>
      <c r="G123" s="669" t="s">
        <v>1418</v>
      </c>
      <c r="H123" s="669" t="s">
        <v>1340</v>
      </c>
      <c r="J123" s="1316" t="s">
        <v>2267</v>
      </c>
      <c r="Z123" s="22"/>
      <c r="AA123" s="22"/>
      <c r="AB123" s="22"/>
      <c r="AC123" s="22"/>
      <c r="AI123" s="1336"/>
      <c r="AJ123" s="1337"/>
      <c r="AK123" s="1338"/>
      <c r="AL123" s="1339"/>
      <c r="AM123" s="7"/>
    </row>
    <row r="124" spans="1:39" ht="36" customHeight="1">
      <c r="D124" s="1358" t="s">
        <v>1427</v>
      </c>
      <c r="E124" s="1359" t="s">
        <v>1428</v>
      </c>
      <c r="F124" t="s">
        <v>1429</v>
      </c>
      <c r="G124">
        <v>0.1419</v>
      </c>
      <c r="H124" s="1360" t="s">
        <v>1430</v>
      </c>
      <c r="J124" s="1316"/>
      <c r="Z124" s="22"/>
      <c r="AA124" s="22"/>
      <c r="AB124" s="22"/>
      <c r="AC124" s="22"/>
      <c r="AI124" s="1336"/>
      <c r="AJ124" s="1337"/>
      <c r="AK124" s="1338"/>
      <c r="AL124" s="1339"/>
      <c r="AM124" s="7"/>
    </row>
    <row r="125" spans="1:39" ht="44.25" customHeight="1">
      <c r="D125" s="670" t="s">
        <v>1431</v>
      </c>
      <c r="E125" s="671" t="s">
        <v>1432</v>
      </c>
      <c r="F125" s="37" t="s">
        <v>1429</v>
      </c>
      <c r="G125" s="37">
        <v>7.8291000000000004</v>
      </c>
      <c r="H125" s="266" t="s">
        <v>1430</v>
      </c>
      <c r="J125" s="1316"/>
      <c r="Z125" s="22"/>
      <c r="AA125" s="22"/>
      <c r="AB125" s="22"/>
      <c r="AC125" s="22"/>
      <c r="AI125" s="1336"/>
      <c r="AJ125" s="1337"/>
      <c r="AK125" s="1338"/>
      <c r="AL125" s="1339"/>
      <c r="AM125" s="7"/>
    </row>
    <row r="126" spans="1:39" ht="15.75">
      <c r="D126" s="262"/>
      <c r="E126" s="1362"/>
      <c r="F126" s="1361"/>
      <c r="G126" s="261"/>
      <c r="H126" s="7"/>
      <c r="Z126" s="22"/>
      <c r="AA126" s="22"/>
      <c r="AB126" s="22"/>
      <c r="AC126" s="22"/>
      <c r="AI126" s="1336"/>
      <c r="AJ126" s="1337"/>
      <c r="AK126" s="1338"/>
      <c r="AL126" s="1339"/>
      <c r="AM126" s="7"/>
    </row>
    <row r="127" spans="1:39">
      <c r="D127" s="7"/>
      <c r="E127" s="7"/>
      <c r="F127" s="7"/>
      <c r="G127" s="7"/>
      <c r="H127" s="7"/>
      <c r="AI127" s="1336"/>
      <c r="AJ127" s="1337"/>
      <c r="AK127" s="1338"/>
      <c r="AL127" s="1339"/>
      <c r="AM127" s="7"/>
    </row>
    <row r="128" spans="1:39">
      <c r="AI128" s="1338"/>
      <c r="AJ128" s="1340"/>
      <c r="AK128" s="1338"/>
      <c r="AL128" s="1341"/>
      <c r="AM128" s="7"/>
    </row>
    <row r="129" spans="1:39">
      <c r="AI129" s="1338"/>
      <c r="AJ129" s="1340"/>
      <c r="AK129" s="1338"/>
      <c r="AL129" s="1341"/>
      <c r="AM129" s="7"/>
    </row>
    <row r="130" spans="1:39" ht="15.75">
      <c r="D130" s="1266"/>
      <c r="G130" s="1244"/>
      <c r="AI130" s="1333"/>
      <c r="AJ130" s="1334"/>
      <c r="AK130" s="1333"/>
      <c r="AL130" s="1335"/>
      <c r="AM130" s="7"/>
    </row>
    <row r="131" spans="1:39" ht="15" customHeight="1">
      <c r="D131" s="1266"/>
      <c r="G131" s="1244"/>
      <c r="AI131" s="1336"/>
      <c r="AJ131" s="1337"/>
      <c r="AK131" s="1338"/>
      <c r="AL131" s="1339"/>
      <c r="AM131" s="7"/>
    </row>
    <row r="132" spans="1:39">
      <c r="AI132" s="1336"/>
      <c r="AJ132" s="1337"/>
      <c r="AK132" s="1338"/>
      <c r="AL132" s="1339"/>
      <c r="AM132" s="7"/>
    </row>
    <row r="133" spans="1:39">
      <c r="AI133" s="1336"/>
      <c r="AJ133" s="1337"/>
      <c r="AK133" s="1338"/>
      <c r="AL133" s="1339"/>
      <c r="AM133" s="7"/>
    </row>
    <row r="134" spans="1:39" ht="60" customHeight="1">
      <c r="AI134" s="1336"/>
      <c r="AJ134" s="1337"/>
      <c r="AK134" s="1338"/>
      <c r="AL134" s="1339"/>
      <c r="AM134" s="7"/>
    </row>
    <row r="135" spans="1:39">
      <c r="AI135" s="1336"/>
      <c r="AJ135" s="1337"/>
      <c r="AK135" s="1338"/>
      <c r="AL135" s="1339"/>
      <c r="AM135" s="7"/>
    </row>
    <row r="136" spans="1:39">
      <c r="AI136" s="1336"/>
      <c r="AJ136" s="1337"/>
      <c r="AK136" s="1338"/>
      <c r="AL136" s="1339"/>
      <c r="AM136" s="7"/>
    </row>
    <row r="137" spans="1:39" ht="15" customHeight="1">
      <c r="AI137" s="1336"/>
      <c r="AJ137" s="1337"/>
      <c r="AK137" s="1338"/>
      <c r="AL137" s="1339"/>
      <c r="AM137" s="7"/>
    </row>
    <row r="138" spans="1:39">
      <c r="AI138" s="1336"/>
      <c r="AJ138" s="1337"/>
      <c r="AK138" s="1338"/>
      <c r="AL138" s="1339"/>
      <c r="AM138" s="7"/>
    </row>
    <row r="139" spans="1:39">
      <c r="AI139" s="1336"/>
      <c r="AJ139" s="1337"/>
      <c r="AK139" s="1338"/>
      <c r="AL139" s="1339"/>
      <c r="AM139" s="7"/>
    </row>
    <row r="140" spans="1:39">
      <c r="AI140" s="1336"/>
      <c r="AJ140" s="1337"/>
      <c r="AK140" s="1338"/>
      <c r="AL140" s="1339"/>
      <c r="AM140" s="7"/>
    </row>
    <row r="141" spans="1:39">
      <c r="AI141" s="1336"/>
      <c r="AJ141" s="1337"/>
      <c r="AK141" s="1338"/>
      <c r="AL141" s="1339"/>
      <c r="AM141" s="7"/>
    </row>
    <row r="142" spans="1:39" s="1278" customFormat="1" ht="23.25">
      <c r="A142" s="1802" t="s">
        <v>1433</v>
      </c>
      <c r="B142" s="1803"/>
      <c r="C142" s="1803"/>
      <c r="D142" s="1803"/>
      <c r="E142" s="1803"/>
      <c r="F142" s="1803"/>
      <c r="G142" s="1803"/>
      <c r="H142" s="1803"/>
      <c r="I142" s="1803"/>
      <c r="J142" s="1803"/>
      <c r="K142" s="1803"/>
      <c r="L142" s="1803"/>
      <c r="M142" s="1803"/>
      <c r="N142" s="1803"/>
      <c r="O142" s="1803"/>
      <c r="P142" s="1803"/>
      <c r="Q142" s="1804"/>
      <c r="R142"/>
      <c r="S142"/>
      <c r="T142"/>
      <c r="U142"/>
      <c r="X142"/>
      <c r="Y142"/>
      <c r="Z142"/>
      <c r="AA142"/>
      <c r="AB142"/>
      <c r="AC142"/>
      <c r="AD142"/>
      <c r="AE142"/>
      <c r="AF142"/>
      <c r="AG142"/>
      <c r="AH142"/>
      <c r="AI142" s="1336"/>
      <c r="AJ142" s="1337"/>
      <c r="AK142" s="1338"/>
      <c r="AL142" s="1339"/>
      <c r="AM142" s="7"/>
    </row>
    <row r="143" spans="1:39">
      <c r="AI143" s="1336"/>
      <c r="AJ143" s="1337"/>
      <c r="AK143" s="1338"/>
      <c r="AL143" s="1339"/>
      <c r="AM143" s="7"/>
    </row>
    <row r="144" spans="1:39" s="1278" customFormat="1">
      <c r="A144" s="1878" t="s">
        <v>1435</v>
      </c>
      <c r="B144" s="1878"/>
      <c r="C144" s="1878"/>
      <c r="D144" s="1878"/>
      <c r="E144" s="1878"/>
      <c r="F144" s="1878"/>
      <c r="G144" s="1878"/>
      <c r="H144" s="1878"/>
      <c r="I144" s="1878"/>
      <c r="J144"/>
      <c r="K144"/>
      <c r="L144"/>
      <c r="M144"/>
      <c r="N144"/>
      <c r="O144"/>
      <c r="P144"/>
      <c r="Q144"/>
      <c r="R144"/>
      <c r="S144"/>
      <c r="T144"/>
      <c r="U144"/>
      <c r="X144"/>
      <c r="Y144"/>
      <c r="Z144"/>
      <c r="AA144"/>
      <c r="AB144"/>
      <c r="AC144"/>
      <c r="AD144"/>
      <c r="AE144"/>
      <c r="AF144"/>
      <c r="AG144"/>
      <c r="AH144"/>
      <c r="AI144" s="1336"/>
      <c r="AJ144" s="1337"/>
      <c r="AK144" s="1338"/>
      <c r="AL144" s="1339"/>
      <c r="AM144" s="7"/>
    </row>
    <row r="145" spans="1:39" s="1278" customFormat="1">
      <c r="A145" s="1878" t="s">
        <v>1436</v>
      </c>
      <c r="B145" s="1878"/>
      <c r="C145" s="1878"/>
      <c r="D145" s="1878"/>
      <c r="E145" s="1878"/>
      <c r="F145" s="1878"/>
      <c r="G145" s="1878"/>
      <c r="H145" s="1878"/>
      <c r="I145" s="1878"/>
      <c r="J145"/>
      <c r="K145"/>
      <c r="L145"/>
      <c r="M145"/>
      <c r="N145"/>
      <c r="O145"/>
      <c r="P145"/>
      <c r="Q145"/>
      <c r="R145"/>
      <c r="S145"/>
      <c r="T145"/>
      <c r="U145"/>
      <c r="X145"/>
      <c r="Y145"/>
      <c r="Z145"/>
      <c r="AA145"/>
      <c r="AB145"/>
      <c r="AC145"/>
      <c r="AD145"/>
      <c r="AE145"/>
      <c r="AF145"/>
      <c r="AG145"/>
      <c r="AH145"/>
      <c r="AI145" s="1336"/>
      <c r="AJ145" s="1337"/>
      <c r="AK145" s="1338"/>
      <c r="AL145" s="1339"/>
      <c r="AM145" s="7"/>
    </row>
    <row r="146" spans="1:39" s="1278" customFormat="1" ht="101.25" customHeight="1" thickBot="1">
      <c r="A146"/>
      <c r="B146" s="276" t="s">
        <v>1437</v>
      </c>
      <c r="C146"/>
      <c r="D146"/>
      <c r="E146"/>
      <c r="F146"/>
      <c r="G146"/>
      <c r="H146"/>
      <c r="I146"/>
      <c r="J146"/>
      <c r="K146"/>
      <c r="L146"/>
      <c r="M146"/>
      <c r="N146"/>
      <c r="O146"/>
      <c r="P146"/>
      <c r="Q146"/>
      <c r="R146"/>
      <c r="S146"/>
      <c r="T146"/>
      <c r="U146"/>
      <c r="V146" s="1278" t="s">
        <v>2268</v>
      </c>
      <c r="X146"/>
      <c r="Y146"/>
      <c r="Z146"/>
      <c r="AA146"/>
      <c r="AB146"/>
      <c r="AC146"/>
      <c r="AD146"/>
      <c r="AE146"/>
      <c r="AF146"/>
      <c r="AG146"/>
      <c r="AH146"/>
      <c r="AI146" s="1336"/>
      <c r="AJ146" s="1337"/>
      <c r="AK146" s="1338"/>
      <c r="AL146" s="1339"/>
      <c r="AM146" s="7"/>
    </row>
    <row r="147" spans="1:39" s="1278" customFormat="1" ht="15.75" thickBot="1">
      <c r="A147"/>
      <c r="B147" s="282" t="s">
        <v>1438</v>
      </c>
      <c r="C147" s="273" t="s">
        <v>585</v>
      </c>
      <c r="D147" s="273" t="s">
        <v>1439</v>
      </c>
      <c r="E147"/>
      <c r="F147" s="1316"/>
      <c r="G147"/>
      <c r="H147"/>
      <c r="I147"/>
      <c r="J147"/>
      <c r="K147"/>
      <c r="L147"/>
      <c r="M147"/>
      <c r="N147"/>
      <c r="O147"/>
      <c r="P147"/>
      <c r="Q147"/>
      <c r="R147"/>
      <c r="S147"/>
      <c r="T147"/>
      <c r="U147"/>
      <c r="X147"/>
      <c r="Y147"/>
      <c r="Z147"/>
      <c r="AA147"/>
      <c r="AB147"/>
      <c r="AC147"/>
      <c r="AD147"/>
      <c r="AE147"/>
      <c r="AF147"/>
      <c r="AG147"/>
      <c r="AH147"/>
      <c r="AI147" s="1336"/>
      <c r="AJ147" s="1337"/>
      <c r="AK147" s="1338"/>
      <c r="AL147" s="1339"/>
      <c r="AM147" s="7"/>
    </row>
    <row r="148" spans="1:39" s="1278" customFormat="1" ht="15.75" thickBot="1">
      <c r="A148"/>
      <c r="B148" s="274" t="s">
        <v>591</v>
      </c>
      <c r="C148" s="275" t="s">
        <v>1440</v>
      </c>
      <c r="D148" s="275">
        <v>1</v>
      </c>
      <c r="E148"/>
      <c r="F148" s="1316"/>
      <c r="G148"/>
      <c r="H148"/>
      <c r="I148"/>
      <c r="J148"/>
      <c r="K148"/>
      <c r="L148"/>
      <c r="M148"/>
      <c r="N148"/>
      <c r="O148"/>
      <c r="P148"/>
      <c r="Q148"/>
      <c r="R148"/>
      <c r="S148"/>
      <c r="T148"/>
      <c r="U148"/>
      <c r="X148"/>
      <c r="Y148"/>
      <c r="Z148"/>
      <c r="AA148"/>
      <c r="AB148"/>
      <c r="AC148"/>
      <c r="AD148"/>
      <c r="AE148"/>
      <c r="AF148"/>
      <c r="AG148"/>
      <c r="AH148"/>
      <c r="AI148" s="1336"/>
      <c r="AJ148" s="1337"/>
      <c r="AK148" s="1338"/>
      <c r="AL148" s="1339"/>
      <c r="AM148" s="7"/>
    </row>
    <row r="149" spans="1:39" s="1278" customFormat="1" ht="15.75" thickBot="1">
      <c r="A149"/>
      <c r="B149" s="274" t="s">
        <v>592</v>
      </c>
      <c r="C149" s="275" t="s">
        <v>1442</v>
      </c>
      <c r="D149" s="275">
        <v>28</v>
      </c>
      <c r="E149"/>
      <c r="F149" s="1316"/>
      <c r="G149"/>
      <c r="H149"/>
      <c r="I149"/>
      <c r="J149"/>
      <c r="K149"/>
      <c r="L149"/>
      <c r="M149"/>
      <c r="N149"/>
      <c r="O149"/>
      <c r="P149"/>
      <c r="Q149"/>
      <c r="R149"/>
      <c r="S149"/>
      <c r="T149"/>
      <c r="U149"/>
      <c r="X149"/>
      <c r="Y149"/>
      <c r="Z149"/>
      <c r="AA149"/>
      <c r="AB149"/>
      <c r="AC149"/>
      <c r="AD149"/>
      <c r="AE149"/>
      <c r="AF149"/>
      <c r="AG149"/>
      <c r="AH149"/>
      <c r="AI149"/>
      <c r="AJ149"/>
      <c r="AK149"/>
      <c r="AL149"/>
      <c r="AM149"/>
    </row>
    <row r="150" spans="1:39" ht="15.75" thickBot="1">
      <c r="B150" s="274" t="s">
        <v>1443</v>
      </c>
      <c r="C150" s="275" t="s">
        <v>1444</v>
      </c>
      <c r="D150" s="275">
        <v>265</v>
      </c>
      <c r="F150" s="1316" t="s">
        <v>2269</v>
      </c>
    </row>
    <row r="151" spans="1:39" ht="15.75" thickBot="1">
      <c r="B151" s="274" t="s">
        <v>596</v>
      </c>
      <c r="C151" s="275" t="s">
        <v>1445</v>
      </c>
      <c r="D151" s="283">
        <v>23500</v>
      </c>
      <c r="F151" s="1316" t="s">
        <v>2270</v>
      </c>
    </row>
    <row r="152" spans="1:39" ht="15.75" thickBot="1">
      <c r="B152" s="284" t="s">
        <v>1446</v>
      </c>
      <c r="C152" s="275"/>
      <c r="D152" s="275"/>
      <c r="F152" s="1316"/>
    </row>
    <row r="153" spans="1:39" ht="15.75" thickBot="1">
      <c r="B153" s="274" t="s">
        <v>634</v>
      </c>
      <c r="C153" s="275" t="s">
        <v>1447</v>
      </c>
      <c r="D153" s="285">
        <v>12400</v>
      </c>
      <c r="F153" s="1316"/>
    </row>
    <row r="154" spans="1:39" ht="15.75" thickBot="1">
      <c r="B154" s="274" t="s">
        <v>636</v>
      </c>
      <c r="C154" s="275" t="s">
        <v>1448</v>
      </c>
      <c r="D154" s="275">
        <v>677</v>
      </c>
      <c r="F154" s="1316"/>
    </row>
    <row r="155" spans="1:39" ht="15.75" thickBot="1">
      <c r="B155" s="274" t="s">
        <v>638</v>
      </c>
      <c r="C155" s="275" t="s">
        <v>1449</v>
      </c>
      <c r="D155" s="275">
        <v>116</v>
      </c>
      <c r="F155" s="1316"/>
    </row>
    <row r="156" spans="1:39" ht="15.75" thickBot="1">
      <c r="B156" s="274" t="s">
        <v>640</v>
      </c>
      <c r="C156" s="275" t="s">
        <v>1450</v>
      </c>
      <c r="D156" s="285">
        <v>1650</v>
      </c>
      <c r="F156" s="1316"/>
    </row>
    <row r="157" spans="1:39" ht="15.75" thickBot="1">
      <c r="B157" s="274" t="s">
        <v>642</v>
      </c>
      <c r="C157" s="275" t="s">
        <v>1451</v>
      </c>
      <c r="D157" s="285">
        <v>3170</v>
      </c>
      <c r="F157" s="1316"/>
    </row>
    <row r="158" spans="1:39" ht="15.75" thickBot="1">
      <c r="B158" s="274" t="s">
        <v>644</v>
      </c>
      <c r="C158" s="275" t="s">
        <v>1452</v>
      </c>
      <c r="D158" s="285">
        <v>1120</v>
      </c>
      <c r="F158" s="1316"/>
    </row>
    <row r="159" spans="1:39" ht="15.75" thickBot="1">
      <c r="B159" s="274" t="s">
        <v>646</v>
      </c>
      <c r="C159" s="275" t="s">
        <v>1453</v>
      </c>
      <c r="D159" s="285">
        <v>1300</v>
      </c>
      <c r="F159" s="1316"/>
    </row>
    <row r="160" spans="1:39" ht="15.75" thickBot="1">
      <c r="B160" s="274" t="s">
        <v>648</v>
      </c>
      <c r="C160" s="275" t="s">
        <v>1454</v>
      </c>
      <c r="D160" s="275">
        <v>328</v>
      </c>
      <c r="F160" s="1316"/>
    </row>
    <row r="161" spans="1:6" ht="15.75" thickBot="1">
      <c r="B161" s="274" t="s">
        <v>650</v>
      </c>
      <c r="C161" s="275" t="s">
        <v>1455</v>
      </c>
      <c r="D161" s="285">
        <v>4800</v>
      </c>
      <c r="F161" s="1316"/>
    </row>
    <row r="162" spans="1:6" ht="15.75" thickBot="1">
      <c r="B162" s="274" t="s">
        <v>652</v>
      </c>
      <c r="C162" s="275" t="s">
        <v>1456</v>
      </c>
      <c r="D162" s="275">
        <v>138</v>
      </c>
      <c r="F162" s="1316"/>
    </row>
    <row r="163" spans="1:6" ht="15.75" thickBot="1">
      <c r="B163" s="274" t="s">
        <v>654</v>
      </c>
      <c r="C163" s="275" t="s">
        <v>1457</v>
      </c>
      <c r="D163" s="285">
        <v>3350</v>
      </c>
      <c r="F163" s="1316"/>
    </row>
    <row r="164" spans="1:6" ht="15.75" thickBot="1">
      <c r="B164" s="274" t="s">
        <v>656</v>
      </c>
      <c r="C164" s="275" t="s">
        <v>1458</v>
      </c>
      <c r="D164" s="285">
        <v>8060</v>
      </c>
      <c r="F164" s="1316"/>
    </row>
    <row r="165" spans="1:6" ht="15.75" thickBot="1">
      <c r="B165" s="274" t="s">
        <v>658</v>
      </c>
      <c r="C165" s="275" t="s">
        <v>1459</v>
      </c>
      <c r="D165" s="275">
        <v>716</v>
      </c>
      <c r="F165" s="1316"/>
    </row>
    <row r="166" spans="1:6" ht="15.75" thickBot="1">
      <c r="B166" s="274" t="s">
        <v>660</v>
      </c>
      <c r="C166" s="275" t="s">
        <v>1460</v>
      </c>
      <c r="D166" s="275">
        <v>858</v>
      </c>
      <c r="F166" s="1316"/>
    </row>
    <row r="167" spans="1:6" ht="15.75" thickBot="1">
      <c r="B167" s="274" t="s">
        <v>662</v>
      </c>
      <c r="C167" s="275" t="s">
        <v>1461</v>
      </c>
      <c r="D167" s="275">
        <v>804</v>
      </c>
      <c r="F167" s="1316"/>
    </row>
    <row r="168" spans="1:6" ht="15.75" thickBot="1">
      <c r="B168" s="284" t="s">
        <v>1462</v>
      </c>
      <c r="C168" s="275"/>
      <c r="D168" s="275"/>
      <c r="F168" s="1316"/>
    </row>
    <row r="169" spans="1:6" ht="15.75" thickBot="1">
      <c r="B169" s="274" t="s">
        <v>1463</v>
      </c>
      <c r="C169" s="275" t="s">
        <v>1464</v>
      </c>
      <c r="D169" s="283">
        <v>6630</v>
      </c>
      <c r="F169" s="1316"/>
    </row>
    <row r="170" spans="1:6" ht="15.75" thickBot="1">
      <c r="B170" s="274" t="s">
        <v>1465</v>
      </c>
      <c r="C170" s="275" t="s">
        <v>1466</v>
      </c>
      <c r="D170" s="283">
        <v>11100</v>
      </c>
      <c r="F170" s="1316"/>
    </row>
    <row r="171" spans="1:6" ht="15.75" thickBot="1">
      <c r="B171" s="274" t="s">
        <v>669</v>
      </c>
      <c r="C171" s="275" t="s">
        <v>1467</v>
      </c>
      <c r="D171" s="283">
        <v>8900</v>
      </c>
      <c r="F171" s="1316"/>
    </row>
    <row r="172" spans="1:6" ht="15.75" thickBot="1">
      <c r="B172" s="274" t="s">
        <v>671</v>
      </c>
      <c r="C172" s="275" t="s">
        <v>1468</v>
      </c>
      <c r="D172" s="283">
        <v>9200</v>
      </c>
    </row>
    <row r="173" spans="1:6" ht="15.75" thickBot="1">
      <c r="B173" s="274" t="s">
        <v>673</v>
      </c>
      <c r="C173" s="275" t="s">
        <v>1469</v>
      </c>
      <c r="D173" s="283">
        <v>9540</v>
      </c>
    </row>
    <row r="174" spans="1:6" ht="15.75" thickBot="1">
      <c r="B174" s="274" t="s">
        <v>675</v>
      </c>
      <c r="C174" s="275" t="s">
        <v>1470</v>
      </c>
      <c r="D174" s="283">
        <v>8550</v>
      </c>
    </row>
    <row r="175" spans="1:6" ht="15.75" thickBot="1">
      <c r="B175" s="274" t="s">
        <v>677</v>
      </c>
      <c r="C175" s="275" t="s">
        <v>1471</v>
      </c>
      <c r="D175" s="283">
        <v>7910</v>
      </c>
    </row>
    <row r="176" spans="1:6">
      <c r="A176" s="250" t="s">
        <v>2271</v>
      </c>
      <c r="B176" s="279"/>
      <c r="C176" s="279"/>
    </row>
    <row r="177" spans="1:23">
      <c r="A177" s="10"/>
    </row>
    <row r="178" spans="1:23">
      <c r="B178" s="1879" t="s">
        <v>1472</v>
      </c>
      <c r="C178" s="1880"/>
      <c r="D178" s="1880"/>
      <c r="E178" s="1881"/>
    </row>
    <row r="179" spans="1:23">
      <c r="B179" s="1882" t="s">
        <v>501</v>
      </c>
      <c r="C179" s="1883"/>
      <c r="D179" s="1884" t="s">
        <v>1340</v>
      </c>
      <c r="E179" s="1886" t="s">
        <v>2272</v>
      </c>
      <c r="V179"/>
      <c r="W179"/>
    </row>
    <row r="180" spans="1:23">
      <c r="B180" s="169" t="s">
        <v>584</v>
      </c>
      <c r="C180" s="169" t="s">
        <v>585</v>
      </c>
      <c r="D180" s="1885"/>
      <c r="E180" s="1887"/>
      <c r="U180" s="10"/>
      <c r="V180"/>
      <c r="W180"/>
    </row>
    <row r="181" spans="1:23">
      <c r="B181" s="1821" t="s">
        <v>598</v>
      </c>
      <c r="C181" s="1822"/>
      <c r="D181" s="1822"/>
      <c r="E181" s="1823"/>
      <c r="U181" s="10"/>
      <c r="V181"/>
      <c r="W181"/>
    </row>
    <row r="182" spans="1:23" ht="18">
      <c r="B182" s="168" t="s">
        <v>599</v>
      </c>
      <c r="C182" s="168" t="s">
        <v>1474</v>
      </c>
      <c r="D182" s="168" t="s">
        <v>1475</v>
      </c>
      <c r="E182" s="216">
        <v>4750</v>
      </c>
      <c r="T182" s="1268"/>
      <c r="U182" s="10"/>
      <c r="V182" s="217"/>
      <c r="W182"/>
    </row>
    <row r="183" spans="1:23" ht="18">
      <c r="B183" s="168" t="s">
        <v>600</v>
      </c>
      <c r="C183" s="168" t="s">
        <v>1476</v>
      </c>
      <c r="D183" s="168" t="s">
        <v>1475</v>
      </c>
      <c r="E183" s="216">
        <v>10900</v>
      </c>
      <c r="I183" s="217"/>
    </row>
    <row r="184" spans="1:23" ht="18">
      <c r="B184" s="168" t="s">
        <v>601</v>
      </c>
      <c r="C184" s="168" t="s">
        <v>1477</v>
      </c>
      <c r="D184" s="168" t="s">
        <v>1475</v>
      </c>
      <c r="E184" s="216">
        <v>14400</v>
      </c>
      <c r="I184" s="217"/>
    </row>
    <row r="185" spans="1:23" ht="18">
      <c r="B185" s="168" t="s">
        <v>602</v>
      </c>
      <c r="C185" s="168" t="s">
        <v>1478</v>
      </c>
      <c r="D185" s="168" t="s">
        <v>1475</v>
      </c>
      <c r="E185" s="216">
        <v>6130</v>
      </c>
      <c r="I185" s="217"/>
    </row>
    <row r="186" spans="1:23" ht="18">
      <c r="B186" s="168" t="s">
        <v>603</v>
      </c>
      <c r="C186" s="168" t="s">
        <v>1479</v>
      </c>
      <c r="D186" s="168" t="s">
        <v>1475</v>
      </c>
      <c r="E186" s="216">
        <v>10000</v>
      </c>
      <c r="I186" s="217"/>
    </row>
    <row r="187" spans="1:23" ht="18">
      <c r="B187" s="168" t="s">
        <v>604</v>
      </c>
      <c r="C187" s="168" t="s">
        <v>1480</v>
      </c>
      <c r="D187" s="168" t="s">
        <v>1475</v>
      </c>
      <c r="E187" s="216">
        <v>7370</v>
      </c>
      <c r="I187" s="217"/>
    </row>
    <row r="188" spans="1:23" ht="18">
      <c r="B188" s="168" t="s">
        <v>607</v>
      </c>
      <c r="C188" s="168" t="s">
        <v>1481</v>
      </c>
      <c r="D188" s="168" t="s">
        <v>1475</v>
      </c>
      <c r="E188" s="216">
        <v>7140</v>
      </c>
      <c r="I188" s="217"/>
      <c r="V188" s="1278" t="s">
        <v>2273</v>
      </c>
    </row>
    <row r="189" spans="1:23" ht="18">
      <c r="B189" s="168" t="s">
        <v>609</v>
      </c>
      <c r="C189" s="168" t="s">
        <v>1482</v>
      </c>
      <c r="D189" s="168" t="s">
        <v>1475</v>
      </c>
      <c r="E189" s="216">
        <v>1890</v>
      </c>
      <c r="I189" s="217"/>
    </row>
    <row r="190" spans="1:23" ht="18">
      <c r="B190" s="168" t="s">
        <v>611</v>
      </c>
      <c r="C190" s="168" t="s">
        <v>1483</v>
      </c>
      <c r="D190" s="168" t="s">
        <v>1475</v>
      </c>
      <c r="E190" s="216">
        <v>1640</v>
      </c>
      <c r="I190" s="217"/>
    </row>
    <row r="191" spans="1:23" ht="18">
      <c r="B191" s="168" t="s">
        <v>613</v>
      </c>
      <c r="C191" s="168" t="s">
        <v>1484</v>
      </c>
      <c r="D191" s="168" t="s">
        <v>1475</v>
      </c>
      <c r="E191" s="216">
        <v>1400</v>
      </c>
      <c r="I191" s="217"/>
    </row>
    <row r="192" spans="1:23" ht="18">
      <c r="B192" s="168" t="s">
        <v>615</v>
      </c>
      <c r="C192" s="168" t="s">
        <v>1485</v>
      </c>
      <c r="D192" s="168" t="s">
        <v>1475</v>
      </c>
      <c r="E192" s="216">
        <v>5</v>
      </c>
      <c r="I192" s="217"/>
    </row>
    <row r="193" spans="2:9" ht="18">
      <c r="B193" s="168" t="s">
        <v>617</v>
      </c>
      <c r="C193" s="168" t="s">
        <v>1486</v>
      </c>
      <c r="D193" s="168" t="s">
        <v>1475</v>
      </c>
      <c r="E193" s="216">
        <v>146</v>
      </c>
      <c r="I193" s="217"/>
    </row>
    <row r="194" spans="2:9" ht="18">
      <c r="B194" s="168" t="s">
        <v>619</v>
      </c>
      <c r="C194" s="168" t="s">
        <v>1488</v>
      </c>
      <c r="D194" s="168" t="s">
        <v>1475</v>
      </c>
      <c r="E194" s="216">
        <v>1810</v>
      </c>
      <c r="I194" s="217"/>
    </row>
    <row r="195" spans="2:9" ht="18">
      <c r="B195" s="168" t="s">
        <v>621</v>
      </c>
      <c r="C195" s="168" t="s">
        <v>1489</v>
      </c>
      <c r="D195" s="168" t="s">
        <v>1475</v>
      </c>
      <c r="E195" s="216">
        <v>77</v>
      </c>
      <c r="I195" s="217"/>
    </row>
    <row r="196" spans="2:9" ht="18">
      <c r="B196" s="168" t="s">
        <v>623</v>
      </c>
      <c r="C196" s="168" t="s">
        <v>1490</v>
      </c>
      <c r="D196" s="168" t="s">
        <v>1475</v>
      </c>
      <c r="E196" s="216">
        <v>609</v>
      </c>
      <c r="I196" s="217"/>
    </row>
    <row r="197" spans="2:9" ht="18">
      <c r="B197" s="168" t="s">
        <v>625</v>
      </c>
      <c r="C197" s="168" t="s">
        <v>1491</v>
      </c>
      <c r="D197" s="168" t="s">
        <v>1475</v>
      </c>
      <c r="E197" s="216">
        <v>725</v>
      </c>
      <c r="I197" s="217"/>
    </row>
    <row r="198" spans="2:9" ht="18">
      <c r="B198" s="168" t="s">
        <v>627</v>
      </c>
      <c r="C198" s="168" t="s">
        <v>1492</v>
      </c>
      <c r="D198" s="168" t="s">
        <v>1475</v>
      </c>
      <c r="E198" s="216">
        <v>2310</v>
      </c>
      <c r="I198" s="217"/>
    </row>
    <row r="199" spans="2:9" ht="18">
      <c r="B199" s="168" t="s">
        <v>629</v>
      </c>
      <c r="C199" s="168" t="s">
        <v>1493</v>
      </c>
      <c r="D199" s="168" t="s">
        <v>1475</v>
      </c>
      <c r="E199" s="216">
        <v>122</v>
      </c>
      <c r="I199" s="217"/>
    </row>
    <row r="200" spans="2:9" ht="18">
      <c r="B200" s="168" t="s">
        <v>631</v>
      </c>
      <c r="C200" s="168" t="s">
        <v>1494</v>
      </c>
      <c r="D200" s="168" t="s">
        <v>1475</v>
      </c>
      <c r="E200" s="216">
        <v>595</v>
      </c>
      <c r="I200" s="217"/>
    </row>
    <row r="201" spans="2:9">
      <c r="B201" s="1821" t="s">
        <v>664</v>
      </c>
      <c r="C201" s="1822"/>
      <c r="D201" s="1822"/>
      <c r="E201" s="1823"/>
    </row>
    <row r="202" spans="2:9" ht="18">
      <c r="B202" s="168" t="s">
        <v>1495</v>
      </c>
      <c r="C202" s="168" t="s">
        <v>1496</v>
      </c>
      <c r="D202" s="168" t="s">
        <v>1475</v>
      </c>
      <c r="E202" s="214">
        <v>22800</v>
      </c>
      <c r="I202" s="218"/>
    </row>
    <row r="203" spans="2:9" ht="18">
      <c r="B203" s="168" t="s">
        <v>1497</v>
      </c>
      <c r="C203" s="168" t="s">
        <v>1498</v>
      </c>
      <c r="D203" s="168" t="s">
        <v>1475</v>
      </c>
      <c r="E203" s="214">
        <v>17200</v>
      </c>
      <c r="I203" s="218"/>
    </row>
    <row r="204" spans="2:9">
      <c r="B204" s="168" t="s">
        <v>1499</v>
      </c>
      <c r="C204" s="168"/>
      <c r="D204" s="168" t="s">
        <v>1475</v>
      </c>
      <c r="E204" s="214">
        <v>17700</v>
      </c>
      <c r="I204" s="218"/>
    </row>
    <row r="205" spans="2:9">
      <c r="B205" s="1821" t="s">
        <v>1500</v>
      </c>
      <c r="C205" s="1822"/>
      <c r="D205" s="1822"/>
      <c r="E205" s="1823"/>
    </row>
    <row r="206" spans="2:9">
      <c r="B206" s="168" t="s">
        <v>1501</v>
      </c>
      <c r="C206" s="168"/>
      <c r="D206" s="168" t="s">
        <v>1475</v>
      </c>
      <c r="E206" s="214">
        <v>14900</v>
      </c>
      <c r="I206" s="218"/>
    </row>
    <row r="207" spans="2:9">
      <c r="B207" s="168" t="s">
        <v>1503</v>
      </c>
      <c r="C207" s="168"/>
      <c r="D207" s="168" t="s">
        <v>1475</v>
      </c>
      <c r="E207" s="214">
        <v>6320</v>
      </c>
      <c r="I207" s="218"/>
    </row>
    <row r="208" spans="2:9">
      <c r="B208" s="168" t="s">
        <v>1505</v>
      </c>
      <c r="C208" s="168"/>
      <c r="D208" s="168" t="s">
        <v>1475</v>
      </c>
      <c r="E208" s="166">
        <v>756</v>
      </c>
      <c r="I208" s="215"/>
    </row>
    <row r="209" spans="2:9">
      <c r="B209" s="168" t="s">
        <v>1506</v>
      </c>
      <c r="C209" s="168"/>
      <c r="D209" s="168" t="s">
        <v>1475</v>
      </c>
      <c r="E209" s="166">
        <v>350</v>
      </c>
      <c r="I209" s="215"/>
    </row>
    <row r="210" spans="2:9">
      <c r="B210" s="168" t="s">
        <v>1507</v>
      </c>
      <c r="C210" s="168"/>
      <c r="D210" s="168" t="s">
        <v>1475</v>
      </c>
      <c r="E210" s="166">
        <v>708</v>
      </c>
      <c r="I210" s="215"/>
    </row>
    <row r="211" spans="2:9">
      <c r="B211" s="168" t="s">
        <v>1508</v>
      </c>
      <c r="C211" s="168"/>
      <c r="D211" s="168" t="s">
        <v>1475</v>
      </c>
      <c r="E211" s="166">
        <v>659</v>
      </c>
      <c r="I211" s="215"/>
    </row>
    <row r="212" spans="2:9">
      <c r="B212" s="168" t="s">
        <v>1509</v>
      </c>
      <c r="C212" s="168"/>
      <c r="D212" s="168" t="s">
        <v>1475</v>
      </c>
      <c r="E212" s="166">
        <v>359</v>
      </c>
      <c r="I212" s="215"/>
    </row>
    <row r="213" spans="2:9">
      <c r="B213" s="168" t="s">
        <v>1510</v>
      </c>
      <c r="C213" s="168"/>
      <c r="D213" s="168" t="s">
        <v>1475</v>
      </c>
      <c r="E213" s="166">
        <v>575</v>
      </c>
      <c r="I213" s="215"/>
    </row>
    <row r="214" spans="2:9">
      <c r="B214" s="168" t="s">
        <v>1511</v>
      </c>
      <c r="C214" s="168"/>
      <c r="D214" s="168" t="s">
        <v>1475</v>
      </c>
      <c r="E214" s="166">
        <v>580</v>
      </c>
      <c r="I214" s="215"/>
    </row>
    <row r="215" spans="2:9">
      <c r="B215" s="168" t="s">
        <v>1512</v>
      </c>
      <c r="C215" s="168"/>
      <c r="D215" s="168" t="s">
        <v>1475</v>
      </c>
      <c r="E215" s="166">
        <v>110</v>
      </c>
      <c r="I215" s="215"/>
    </row>
    <row r="216" spans="2:9">
      <c r="B216" s="168" t="s">
        <v>1513</v>
      </c>
      <c r="C216" s="168"/>
      <c r="D216" s="168" t="s">
        <v>1475</v>
      </c>
      <c r="E216" s="166">
        <v>297</v>
      </c>
      <c r="I216" s="215"/>
    </row>
    <row r="217" spans="2:9">
      <c r="B217" s="168" t="s">
        <v>1514</v>
      </c>
      <c r="C217" s="168"/>
      <c r="D217" s="168" t="s">
        <v>1475</v>
      </c>
      <c r="E217" s="166">
        <v>59</v>
      </c>
      <c r="I217" s="215"/>
    </row>
    <row r="218" spans="2:9">
      <c r="B218" s="168" t="s">
        <v>1515</v>
      </c>
      <c r="C218" s="168"/>
      <c r="D218" s="168" t="s">
        <v>1475</v>
      </c>
      <c r="E218" s="214">
        <v>1870</v>
      </c>
      <c r="I218" s="218"/>
    </row>
    <row r="219" spans="2:9">
      <c r="B219" s="168" t="s">
        <v>1516</v>
      </c>
      <c r="C219" s="168"/>
      <c r="D219" s="168" t="s">
        <v>1475</v>
      </c>
      <c r="E219" s="214">
        <v>2800</v>
      </c>
      <c r="I219" s="218"/>
    </row>
    <row r="220" spans="2:9">
      <c r="B220" s="168" t="s">
        <v>1517</v>
      </c>
      <c r="C220" s="168"/>
      <c r="D220" s="168" t="s">
        <v>1475</v>
      </c>
      <c r="E220" s="214">
        <v>1500</v>
      </c>
      <c r="I220" s="218"/>
    </row>
    <row r="221" spans="2:9">
      <c r="B221" s="1821" t="s">
        <v>1518</v>
      </c>
      <c r="C221" s="1822"/>
      <c r="D221" s="1822"/>
      <c r="E221" s="1823"/>
    </row>
    <row r="222" spans="2:9">
      <c r="B222" s="168" t="s">
        <v>1519</v>
      </c>
      <c r="C222" s="168"/>
      <c r="D222" s="168" t="s">
        <v>1475</v>
      </c>
      <c r="E222" s="214">
        <v>10300</v>
      </c>
      <c r="I222" s="218"/>
    </row>
    <row r="223" spans="2:9">
      <c r="B223" s="1821" t="s">
        <v>1520</v>
      </c>
      <c r="C223" s="1822"/>
      <c r="D223" s="1822"/>
      <c r="E223" s="1823"/>
    </row>
    <row r="224" spans="2:9">
      <c r="B224" s="168" t="s">
        <v>1521</v>
      </c>
      <c r="C224" s="168"/>
      <c r="D224" s="168" t="s">
        <v>1475</v>
      </c>
      <c r="E224" s="166">
        <v>1</v>
      </c>
      <c r="I224" s="215"/>
    </row>
    <row r="225" spans="2:9">
      <c r="B225" s="168" t="s">
        <v>1522</v>
      </c>
      <c r="C225" s="168"/>
      <c r="D225" s="168" t="s">
        <v>1475</v>
      </c>
      <c r="E225" s="166">
        <v>8.6999999999999993</v>
      </c>
      <c r="I225" s="215"/>
    </row>
    <row r="226" spans="2:9">
      <c r="B226" s="168" t="s">
        <v>1523</v>
      </c>
      <c r="C226" s="168"/>
      <c r="D226" s="168" t="s">
        <v>1475</v>
      </c>
      <c r="E226" s="166">
        <v>13</v>
      </c>
      <c r="I226" s="215"/>
    </row>
    <row r="227" spans="2:9">
      <c r="B227" s="1821" t="s">
        <v>1525</v>
      </c>
      <c r="C227" s="1822"/>
      <c r="D227" s="1822"/>
      <c r="E227" s="1823"/>
    </row>
    <row r="228" spans="2:9">
      <c r="B228" s="219" t="s">
        <v>1526</v>
      </c>
      <c r="C228" s="220" t="s">
        <v>1527</v>
      </c>
      <c r="D228" s="219" t="s">
        <v>1475</v>
      </c>
      <c r="E228" s="220" t="s">
        <v>1528</v>
      </c>
    </row>
    <row r="229" spans="2:9">
      <c r="B229" s="168" t="s">
        <v>1529</v>
      </c>
      <c r="C229" s="168" t="s">
        <v>1530</v>
      </c>
      <c r="D229" s="168" t="s">
        <v>1475</v>
      </c>
      <c r="E229" s="221">
        <v>3921.6</v>
      </c>
      <c r="I229" s="222"/>
    </row>
    <row r="230" spans="2:9">
      <c r="B230" s="168" t="s">
        <v>1531</v>
      </c>
      <c r="C230" s="168" t="s">
        <v>1532</v>
      </c>
      <c r="D230" s="168" t="s">
        <v>1475</v>
      </c>
      <c r="E230" s="221">
        <v>1942.72</v>
      </c>
      <c r="I230" s="222"/>
    </row>
    <row r="231" spans="2:9">
      <c r="B231" s="168" t="s">
        <v>1533</v>
      </c>
      <c r="C231" s="168" t="s">
        <v>1534</v>
      </c>
      <c r="D231" s="168" t="s">
        <v>1475</v>
      </c>
      <c r="E231" s="221">
        <v>1773.85</v>
      </c>
      <c r="I231" s="222"/>
    </row>
    <row r="232" spans="2:9">
      <c r="B232" s="168" t="s">
        <v>1535</v>
      </c>
      <c r="C232" s="168" t="s">
        <v>1536</v>
      </c>
      <c r="D232" s="168" t="s">
        <v>1475</v>
      </c>
      <c r="E232" s="221">
        <v>1824.5</v>
      </c>
      <c r="I232" s="222"/>
    </row>
    <row r="233" spans="2:9">
      <c r="B233" s="168" t="s">
        <v>1537</v>
      </c>
      <c r="C233" s="168" t="s">
        <v>1538</v>
      </c>
      <c r="D233" s="168" t="s">
        <v>1475</v>
      </c>
      <c r="E233" s="221">
        <v>1375.84</v>
      </c>
      <c r="I233" s="222"/>
    </row>
    <row r="234" spans="2:9">
      <c r="B234" s="168" t="s">
        <v>1539</v>
      </c>
      <c r="C234" s="168" t="s">
        <v>1540</v>
      </c>
      <c r="D234" s="168" t="s">
        <v>1475</v>
      </c>
      <c r="E234" s="221">
        <v>1584.75</v>
      </c>
      <c r="I234" s="222"/>
    </row>
    <row r="235" spans="2:9">
      <c r="B235" s="168" t="s">
        <v>1541</v>
      </c>
      <c r="C235" s="168" t="s">
        <v>1542</v>
      </c>
      <c r="D235" s="168" t="s">
        <v>1475</v>
      </c>
      <c r="E235" s="221">
        <v>1559.75</v>
      </c>
      <c r="I235" s="222"/>
    </row>
    <row r="236" spans="2:9">
      <c r="B236" s="168" t="s">
        <v>1543</v>
      </c>
      <c r="C236" s="168" t="s">
        <v>1544</v>
      </c>
      <c r="D236" s="168" t="s">
        <v>1475</v>
      </c>
      <c r="E236" s="221">
        <v>2087.5</v>
      </c>
      <c r="I236" s="222"/>
    </row>
    <row r="237" spans="2:9">
      <c r="B237" s="168" t="s">
        <v>1545</v>
      </c>
      <c r="C237" s="168" t="s">
        <v>1546</v>
      </c>
      <c r="D237" s="168" t="s">
        <v>1475</v>
      </c>
      <c r="E237" s="223">
        <v>3.15</v>
      </c>
      <c r="I237" s="224"/>
    </row>
    <row r="238" spans="2:9">
      <c r="B238" s="168" t="s">
        <v>1547</v>
      </c>
      <c r="C238" s="168" t="s">
        <v>1548</v>
      </c>
      <c r="D238" s="168" t="s">
        <v>1475</v>
      </c>
      <c r="E238" s="223">
        <v>3.1559999999999997</v>
      </c>
      <c r="I238" s="224"/>
    </row>
    <row r="239" spans="2:9">
      <c r="B239" s="1821" t="s">
        <v>1549</v>
      </c>
      <c r="C239" s="1822"/>
      <c r="D239" s="1822"/>
      <c r="E239" s="1823"/>
    </row>
    <row r="240" spans="2:9">
      <c r="B240" s="219" t="s">
        <v>1526</v>
      </c>
      <c r="C240" s="220" t="s">
        <v>1527</v>
      </c>
      <c r="D240" s="219" t="s">
        <v>1475</v>
      </c>
      <c r="E240" s="220" t="s">
        <v>1528</v>
      </c>
    </row>
    <row r="241" spans="1:17">
      <c r="B241" s="168" t="s">
        <v>1550</v>
      </c>
      <c r="C241" s="168" t="s">
        <v>1551</v>
      </c>
      <c r="D241" s="225" t="s">
        <v>1475</v>
      </c>
      <c r="E241" s="226">
        <v>3985</v>
      </c>
      <c r="I241" s="227"/>
    </row>
    <row r="242" spans="1:17">
      <c r="B242" s="1875" t="s">
        <v>1552</v>
      </c>
      <c r="C242" s="1876"/>
      <c r="D242" s="1876"/>
      <c r="E242" s="1877"/>
    </row>
    <row r="243" spans="1:17" ht="18">
      <c r="B243" s="228" t="s">
        <v>1553</v>
      </c>
      <c r="C243" s="228" t="s">
        <v>1554</v>
      </c>
      <c r="D243" s="228" t="s">
        <v>1475</v>
      </c>
      <c r="E243" s="228">
        <v>216</v>
      </c>
      <c r="F243" s="167"/>
    </row>
    <row r="244" spans="1:17" ht="18">
      <c r="B244" s="228" t="s">
        <v>1555</v>
      </c>
      <c r="C244" s="228" t="s">
        <v>1556</v>
      </c>
      <c r="D244" s="228" t="s">
        <v>1475</v>
      </c>
      <c r="E244" s="228">
        <v>350</v>
      </c>
      <c r="F244" s="167"/>
    </row>
    <row r="245" spans="1:17" ht="18">
      <c r="B245" s="228" t="s">
        <v>1557</v>
      </c>
      <c r="C245" s="228" t="s">
        <v>1558</v>
      </c>
      <c r="D245" s="228" t="s">
        <v>1475</v>
      </c>
      <c r="E245" s="228">
        <v>1790</v>
      </c>
      <c r="F245" s="167"/>
    </row>
    <row r="246" spans="1:17">
      <c r="B246" s="229" t="s">
        <v>1559</v>
      </c>
      <c r="C246" s="230" t="s">
        <v>1527</v>
      </c>
      <c r="D246" s="231" t="s">
        <v>1475</v>
      </c>
      <c r="E246" s="230" t="s">
        <v>1528</v>
      </c>
      <c r="F246" s="167"/>
    </row>
    <row r="247" spans="1:17" ht="18">
      <c r="B247" s="228" t="s">
        <v>1560</v>
      </c>
      <c r="C247" s="228" t="s">
        <v>1561</v>
      </c>
      <c r="D247" s="228" t="s">
        <v>1475</v>
      </c>
      <c r="E247" s="228">
        <v>173</v>
      </c>
      <c r="F247" s="167"/>
    </row>
    <row r="248" spans="1:17">
      <c r="A248" s="10" t="s">
        <v>2274</v>
      </c>
    </row>
    <row r="250" spans="1:17" ht="23.25">
      <c r="A250" s="1802" t="s">
        <v>83</v>
      </c>
      <c r="B250" s="1803"/>
      <c r="C250" s="1803"/>
      <c r="D250" s="1803"/>
      <c r="E250" s="1803"/>
      <c r="F250" s="1803"/>
      <c r="G250" s="1803"/>
      <c r="H250" s="1803"/>
      <c r="I250" s="1803"/>
      <c r="J250" s="1803"/>
      <c r="K250" s="1803"/>
      <c r="L250" s="1803"/>
      <c r="M250" s="1803"/>
      <c r="N250" s="1803"/>
      <c r="O250" s="1803"/>
      <c r="P250" s="1803"/>
      <c r="Q250" s="1804"/>
    </row>
    <row r="252" spans="1:17" ht="29.25" customHeight="1" thickBot="1">
      <c r="A252" s="589" t="s">
        <v>1562</v>
      </c>
    </row>
    <row r="253" spans="1:17" ht="30">
      <c r="A253" s="1824" t="s">
        <v>1308</v>
      </c>
      <c r="B253" s="592" t="s">
        <v>1309</v>
      </c>
      <c r="C253" s="592" t="s">
        <v>1310</v>
      </c>
      <c r="D253" s="592" t="s">
        <v>1310</v>
      </c>
      <c r="E253" s="592" t="s">
        <v>1310</v>
      </c>
      <c r="F253" s="592" t="s">
        <v>1310</v>
      </c>
      <c r="G253" s="592" t="s">
        <v>1349</v>
      </c>
    </row>
    <row r="254" spans="1:17" ht="18">
      <c r="A254" s="1825"/>
      <c r="B254" s="593" t="s">
        <v>1563</v>
      </c>
      <c r="C254" s="593" t="s">
        <v>1312</v>
      </c>
      <c r="D254" s="593" t="s">
        <v>1312</v>
      </c>
      <c r="E254" s="593" t="s">
        <v>1312</v>
      </c>
      <c r="F254" s="593" t="s">
        <v>1312</v>
      </c>
      <c r="G254" s="593" t="s">
        <v>1351</v>
      </c>
    </row>
    <row r="255" spans="1:17" ht="18.75" thickBot="1">
      <c r="A255" s="1826"/>
      <c r="B255" s="594"/>
      <c r="C255" s="595" t="s">
        <v>1313</v>
      </c>
      <c r="D255" s="595" t="s">
        <v>1314</v>
      </c>
      <c r="E255" s="595" t="s">
        <v>1315</v>
      </c>
      <c r="F255" s="595" t="s">
        <v>1316</v>
      </c>
      <c r="G255" s="594"/>
    </row>
    <row r="256" spans="1:17" ht="15.75" thickBot="1">
      <c r="A256" s="590" t="s">
        <v>1564</v>
      </c>
      <c r="B256" s="596">
        <v>27</v>
      </c>
      <c r="C256" s="591">
        <v>90</v>
      </c>
      <c r="D256" s="591">
        <v>0.04</v>
      </c>
      <c r="E256" s="591">
        <v>0.2</v>
      </c>
      <c r="F256" s="591">
        <v>90.24</v>
      </c>
      <c r="G256" s="591">
        <v>3</v>
      </c>
    </row>
    <row r="257" spans="1:7" ht="15.75" thickBot="1">
      <c r="A257" s="590" t="s">
        <v>1566</v>
      </c>
      <c r="B257" s="596">
        <v>21</v>
      </c>
      <c r="C257" s="591">
        <v>90</v>
      </c>
      <c r="D257" s="591">
        <v>0.04</v>
      </c>
      <c r="E257" s="591">
        <v>0.2</v>
      </c>
      <c r="F257" s="591">
        <v>90.24</v>
      </c>
      <c r="G257" s="591">
        <v>2.5</v>
      </c>
    </row>
    <row r="258" spans="1:7" ht="15.75" thickBot="1">
      <c r="A258" s="590" t="s">
        <v>1567</v>
      </c>
      <c r="B258" s="596">
        <v>29</v>
      </c>
      <c r="C258" s="591">
        <v>90</v>
      </c>
      <c r="D258" s="591">
        <v>0.04</v>
      </c>
      <c r="E258" s="591">
        <v>0.2</v>
      </c>
      <c r="F258" s="591">
        <v>90.24</v>
      </c>
      <c r="G258" s="591" t="s">
        <v>1360</v>
      </c>
    </row>
    <row r="259" spans="1:7" ht="15.75" thickBot="1">
      <c r="A259" s="590" t="s">
        <v>1568</v>
      </c>
      <c r="B259" s="596">
        <v>10.199999999999999</v>
      </c>
      <c r="C259" s="591">
        <v>93.5</v>
      </c>
      <c r="D259" s="591">
        <v>0.02</v>
      </c>
      <c r="E259" s="591">
        <v>0.3</v>
      </c>
      <c r="F259" s="591">
        <v>93.82</v>
      </c>
      <c r="G259" s="591">
        <v>0.4</v>
      </c>
    </row>
    <row r="260" spans="1:7" ht="15.75" thickBot="1">
      <c r="A260" s="590" t="s">
        <v>1569</v>
      </c>
      <c r="B260" s="596">
        <v>30</v>
      </c>
      <c r="C260" s="591">
        <v>91.8</v>
      </c>
      <c r="D260" s="591">
        <v>0.03</v>
      </c>
      <c r="E260" s="591">
        <v>0.2</v>
      </c>
      <c r="F260" s="591">
        <v>92.03</v>
      </c>
      <c r="G260" s="591">
        <v>6.4</v>
      </c>
    </row>
    <row r="261" spans="1:7" ht="15.75" thickBot="1">
      <c r="A261" s="590" t="s">
        <v>1570</v>
      </c>
      <c r="B261" s="596">
        <v>22.1</v>
      </c>
      <c r="C261" s="591">
        <v>95</v>
      </c>
      <c r="D261" s="591">
        <v>0.08</v>
      </c>
      <c r="E261" s="591">
        <v>0.3</v>
      </c>
      <c r="F261" s="591">
        <v>95.38</v>
      </c>
      <c r="G261" s="591" t="s">
        <v>1360</v>
      </c>
    </row>
    <row r="262" spans="1:7" ht="15.75" thickBot="1">
      <c r="A262" s="590" t="s">
        <v>1571</v>
      </c>
      <c r="B262" s="596">
        <v>27</v>
      </c>
      <c r="C262" s="591">
        <v>107</v>
      </c>
      <c r="D262" s="591">
        <v>0.03</v>
      </c>
      <c r="E262" s="591">
        <v>0.2</v>
      </c>
      <c r="F262" s="591">
        <v>107.23</v>
      </c>
      <c r="G262" s="591" t="s">
        <v>1360</v>
      </c>
    </row>
    <row r="263" spans="1:7" ht="15.75" thickBot="1">
      <c r="A263" s="590" t="s">
        <v>1572</v>
      </c>
      <c r="B263" s="596">
        <v>37.5</v>
      </c>
      <c r="C263" s="591">
        <v>81.8</v>
      </c>
      <c r="D263" s="591">
        <v>0.03</v>
      </c>
      <c r="E263" s="591">
        <v>0.2</v>
      </c>
      <c r="F263" s="591">
        <v>82.03</v>
      </c>
      <c r="G263" s="591" t="s">
        <v>1360</v>
      </c>
    </row>
    <row r="264" spans="1:7" ht="30.75" thickBot="1">
      <c r="A264" s="590" t="s">
        <v>1573</v>
      </c>
      <c r="B264" s="596">
        <v>22.1</v>
      </c>
      <c r="C264" s="591">
        <v>95</v>
      </c>
      <c r="D264" s="591">
        <v>0.08</v>
      </c>
      <c r="E264" s="591">
        <v>0.2</v>
      </c>
      <c r="F264" s="591">
        <v>95.28</v>
      </c>
      <c r="G264" s="591" t="s">
        <v>1360</v>
      </c>
    </row>
    <row r="265" spans="1:7" ht="60.75" thickBot="1">
      <c r="A265" s="590" t="s">
        <v>1574</v>
      </c>
      <c r="B265" s="596">
        <v>26.3</v>
      </c>
      <c r="C265" s="591">
        <v>81.599999999999994</v>
      </c>
      <c r="D265" s="591">
        <v>0.03</v>
      </c>
      <c r="E265" s="591">
        <v>0.2</v>
      </c>
      <c r="F265" s="591">
        <v>81.83</v>
      </c>
      <c r="G265" s="591" t="s">
        <v>1360</v>
      </c>
    </row>
    <row r="266" spans="1:7" ht="45.75" thickBot="1">
      <c r="A266" s="590" t="s">
        <v>1575</v>
      </c>
      <c r="B266" s="596">
        <v>32</v>
      </c>
      <c r="C266" s="591">
        <v>62.8</v>
      </c>
      <c r="D266" s="591">
        <v>0.03</v>
      </c>
      <c r="E266" s="591">
        <v>0.2</v>
      </c>
      <c r="F266" s="591">
        <v>63.03</v>
      </c>
      <c r="G266" s="591" t="s">
        <v>1360</v>
      </c>
    </row>
    <row r="267" spans="1:7" ht="45.75" thickBot="1">
      <c r="A267" s="590" t="s">
        <v>1576</v>
      </c>
      <c r="B267" s="596">
        <v>27.1</v>
      </c>
      <c r="C267" s="591">
        <v>55.9</v>
      </c>
      <c r="D267" s="591">
        <v>0.03</v>
      </c>
      <c r="E267" s="591">
        <v>0.2</v>
      </c>
      <c r="F267" s="591">
        <v>56.13</v>
      </c>
      <c r="G267" s="591" t="s">
        <v>1360</v>
      </c>
    </row>
    <row r="268" spans="1:7" ht="45.75" thickBot="1">
      <c r="A268" s="590" t="s">
        <v>1577</v>
      </c>
      <c r="B268" s="596">
        <v>10.5</v>
      </c>
      <c r="C268" s="591">
        <v>87.1</v>
      </c>
      <c r="D268" s="591">
        <v>0.8</v>
      </c>
      <c r="E268" s="591">
        <v>1</v>
      </c>
      <c r="F268" s="591">
        <v>88.9</v>
      </c>
      <c r="G268" s="591" t="s">
        <v>1360</v>
      </c>
    </row>
    <row r="269" spans="1:7" ht="15.75" thickBot="1">
      <c r="A269" s="590" t="s">
        <v>1578</v>
      </c>
      <c r="B269" s="596">
        <v>16.2</v>
      </c>
      <c r="C269" s="591">
        <v>0</v>
      </c>
      <c r="D269" s="591">
        <v>0.1</v>
      </c>
      <c r="E269" s="591">
        <v>1.1000000000000001</v>
      </c>
      <c r="F269" s="591">
        <v>1.2</v>
      </c>
      <c r="G269" s="591" t="s">
        <v>1360</v>
      </c>
    </row>
    <row r="270" spans="1:7" ht="15.75" thickBot="1">
      <c r="A270" s="613" t="s">
        <v>1579</v>
      </c>
      <c r="B270" s="614">
        <v>10.4</v>
      </c>
      <c r="C270" s="615">
        <v>0</v>
      </c>
      <c r="D270" s="615">
        <v>0.1</v>
      </c>
      <c r="E270" s="615">
        <v>1.1000000000000001</v>
      </c>
      <c r="F270" s="615">
        <v>1.2</v>
      </c>
      <c r="G270" s="615" t="s">
        <v>1360</v>
      </c>
    </row>
    <row r="271" spans="1:7" ht="15.75" thickBot="1">
      <c r="A271" s="590" t="s">
        <v>1580</v>
      </c>
      <c r="B271" s="596">
        <v>12.4</v>
      </c>
      <c r="C271" s="591">
        <v>0</v>
      </c>
      <c r="D271" s="591">
        <v>0.08</v>
      </c>
      <c r="E271" s="591">
        <v>0.5</v>
      </c>
      <c r="F271" s="591">
        <v>0.57999999999999996</v>
      </c>
      <c r="G271" s="591" t="s">
        <v>1360</v>
      </c>
    </row>
    <row r="272" spans="1:7" ht="15.75" thickBot="1">
      <c r="A272" s="590" t="s">
        <v>1581</v>
      </c>
      <c r="B272" s="596">
        <v>9.6</v>
      </c>
      <c r="C272" s="591">
        <v>0</v>
      </c>
      <c r="D272" s="591">
        <v>0.3</v>
      </c>
      <c r="E272" s="591">
        <v>1.1000000000000001</v>
      </c>
      <c r="F272" s="591">
        <v>1.4</v>
      </c>
      <c r="G272" s="591" t="s">
        <v>1360</v>
      </c>
    </row>
    <row r="273" spans="1:29" ht="45.75" thickBot="1">
      <c r="A273" s="590" t="s">
        <v>1582</v>
      </c>
      <c r="B273" s="596">
        <v>12.2</v>
      </c>
      <c r="C273" s="591">
        <v>0</v>
      </c>
      <c r="D273" s="591">
        <v>0.8</v>
      </c>
      <c r="E273" s="591">
        <v>1</v>
      </c>
      <c r="F273" s="591">
        <v>1.8</v>
      </c>
      <c r="G273" s="591" t="s">
        <v>1360</v>
      </c>
    </row>
    <row r="274" spans="1:29" ht="15.75" thickBot="1">
      <c r="A274" s="590" t="s">
        <v>1583</v>
      </c>
      <c r="B274" s="596">
        <v>31.1</v>
      </c>
      <c r="C274" s="591">
        <v>0</v>
      </c>
      <c r="D274" s="591">
        <v>5.3</v>
      </c>
      <c r="E274" s="591">
        <v>1</v>
      </c>
      <c r="F274" s="591">
        <v>6.3</v>
      </c>
      <c r="G274" s="591" t="s">
        <v>1360</v>
      </c>
    </row>
    <row r="275" spans="1:29" ht="45.75" thickBot="1">
      <c r="A275" s="590" t="s">
        <v>1584</v>
      </c>
      <c r="B275" s="596">
        <v>12.2</v>
      </c>
      <c r="C275" s="591">
        <v>0</v>
      </c>
      <c r="D275" s="591">
        <v>0.8</v>
      </c>
      <c r="E275" s="591">
        <v>1</v>
      </c>
      <c r="F275" s="591">
        <v>1.8</v>
      </c>
      <c r="G275" s="591" t="s">
        <v>1360</v>
      </c>
    </row>
    <row r="276" spans="1:29">
      <c r="A276" s="10"/>
    </row>
    <row r="277" spans="1:29" ht="23.25">
      <c r="A277" s="1802" t="s">
        <v>88</v>
      </c>
      <c r="B277" s="1803"/>
      <c r="C277" s="1803"/>
      <c r="D277" s="1803"/>
      <c r="E277" s="1803"/>
      <c r="F277" s="1803"/>
      <c r="G277" s="1803"/>
      <c r="H277" s="1803"/>
      <c r="I277" s="1803"/>
      <c r="J277" s="1803"/>
      <c r="K277" s="1803"/>
      <c r="L277" s="1803"/>
      <c r="M277" s="1803"/>
      <c r="N277" s="1803"/>
      <c r="O277" s="1803"/>
      <c r="P277" s="1803"/>
      <c r="Q277" s="1804"/>
    </row>
    <row r="279" spans="1:29" ht="31.5">
      <c r="A279" s="260" t="s">
        <v>700</v>
      </c>
      <c r="B279" s="260" t="s">
        <v>701</v>
      </c>
      <c r="C279" s="289" t="s">
        <v>1585</v>
      </c>
      <c r="E279" s="1363" t="s">
        <v>2275</v>
      </c>
      <c r="F279" s="260" t="s">
        <v>700</v>
      </c>
      <c r="G279" s="260" t="s">
        <v>701</v>
      </c>
      <c r="H279" s="289" t="s">
        <v>1585</v>
      </c>
    </row>
    <row r="280" spans="1:29" ht="15.75">
      <c r="A280" s="263" t="s">
        <v>703</v>
      </c>
      <c r="B280" s="265" t="s">
        <v>1586</v>
      </c>
      <c r="C280" s="290">
        <v>4.58</v>
      </c>
      <c r="E280" s="1363" t="s">
        <v>2276</v>
      </c>
      <c r="F280" s="263" t="s">
        <v>2277</v>
      </c>
      <c r="G280" s="265" t="s">
        <v>1586</v>
      </c>
      <c r="H280" s="290">
        <v>5.0646000000000004</v>
      </c>
    </row>
    <row r="281" spans="1:29" ht="15.75">
      <c r="A281" s="263" t="s">
        <v>706</v>
      </c>
      <c r="B281" s="265" t="s">
        <v>1586</v>
      </c>
      <c r="C281" s="290">
        <v>2.75</v>
      </c>
      <c r="F281" s="263" t="s">
        <v>706</v>
      </c>
      <c r="G281" s="265" t="s">
        <v>1586</v>
      </c>
      <c r="H281" s="290">
        <v>5.65</v>
      </c>
    </row>
    <row r="282" spans="1:29" s="22" customFormat="1" ht="15.75">
      <c r="A282"/>
      <c r="B282"/>
      <c r="C282"/>
      <c r="D282"/>
      <c r="E282"/>
      <c r="F282"/>
      <c r="G282"/>
      <c r="H282"/>
      <c r="I282"/>
      <c r="J282"/>
      <c r="K282" s="1364"/>
      <c r="L282"/>
      <c r="M282"/>
      <c r="N282"/>
      <c r="O282"/>
      <c r="P282"/>
      <c r="Q282"/>
      <c r="V282" s="1284"/>
      <c r="W282" s="1284"/>
      <c r="Z282"/>
      <c r="AA282"/>
      <c r="AB282"/>
      <c r="AC282"/>
    </row>
    <row r="283" spans="1:29" s="22" customFormat="1" ht="15.75">
      <c r="A283" s="255" t="s">
        <v>1588</v>
      </c>
      <c r="J283" s="264"/>
      <c r="V283" s="1284"/>
      <c r="W283" s="1284"/>
      <c r="Z283"/>
      <c r="AA283"/>
      <c r="AB283"/>
      <c r="AC283"/>
    </row>
    <row r="284" spans="1:29" s="22" customFormat="1" ht="15.75">
      <c r="A284" s="251"/>
      <c r="J284" s="264"/>
      <c r="K284" s="1363"/>
      <c r="V284" s="1284"/>
      <c r="W284" s="1284"/>
      <c r="Z284"/>
      <c r="AA284"/>
      <c r="AB284"/>
      <c r="AC284"/>
    </row>
    <row r="285" spans="1:29" s="22" customFormat="1" ht="15.75">
      <c r="A285" s="251"/>
      <c r="J285" s="264"/>
      <c r="V285" s="1284"/>
      <c r="W285" s="1284"/>
      <c r="Z285"/>
      <c r="AA285"/>
      <c r="AB285"/>
      <c r="AC285"/>
    </row>
    <row r="286" spans="1:29" s="22" customFormat="1" ht="15.75">
      <c r="A286" s="251"/>
      <c r="J286" s="264"/>
      <c r="V286" s="1284"/>
      <c r="W286" s="1284"/>
      <c r="Z286"/>
      <c r="AA286"/>
      <c r="AB286"/>
      <c r="AC286"/>
    </row>
    <row r="287" spans="1:29" s="22" customFormat="1" ht="15.75">
      <c r="A287" s="251"/>
      <c r="J287" s="1363" t="s">
        <v>2275</v>
      </c>
      <c r="V287" s="1284"/>
      <c r="W287" s="1284"/>
      <c r="Z287"/>
      <c r="AA287"/>
      <c r="AB287"/>
      <c r="AC287"/>
    </row>
    <row r="288" spans="1:29" s="22" customFormat="1" ht="15.75">
      <c r="A288" s="251"/>
      <c r="J288" s="1363" t="s">
        <v>2276</v>
      </c>
      <c r="V288" s="1284"/>
      <c r="W288" s="1284"/>
      <c r="Z288"/>
      <c r="AA288"/>
      <c r="AB288"/>
      <c r="AC288"/>
    </row>
    <row r="289" spans="1:29" s="22" customFormat="1" ht="15.75">
      <c r="A289" s="251"/>
      <c r="J289" s="1363"/>
      <c r="V289" s="1284"/>
      <c r="W289" s="1284"/>
      <c r="Z289"/>
      <c r="AA289"/>
      <c r="AB289"/>
      <c r="AC289"/>
    </row>
    <row r="290" spans="1:29" s="22" customFormat="1" ht="15.75">
      <c r="A290" s="251"/>
      <c r="J290" s="1363"/>
      <c r="V290" s="1284"/>
      <c r="W290" s="1284"/>
      <c r="Z290"/>
      <c r="AA290"/>
      <c r="AB290"/>
      <c r="AC290"/>
    </row>
    <row r="291" spans="1:29" s="22" customFormat="1" ht="15.75">
      <c r="A291" s="251"/>
      <c r="J291" s="264"/>
      <c r="V291" s="1284"/>
      <c r="W291" s="1284"/>
      <c r="Z291"/>
      <c r="AA291"/>
      <c r="AB291"/>
      <c r="AC291"/>
    </row>
    <row r="292" spans="1:29" s="22" customFormat="1" ht="15.75">
      <c r="A292" s="251"/>
      <c r="J292" s="264"/>
      <c r="V292" s="1284"/>
      <c r="W292" s="1284"/>
    </row>
    <row r="293" spans="1:29" s="22" customFormat="1" ht="15.75">
      <c r="A293" s="251"/>
      <c r="J293" s="264"/>
      <c r="V293" s="1284"/>
      <c r="W293" s="1284"/>
    </row>
    <row r="294" spans="1:29" s="22" customFormat="1" ht="15.75">
      <c r="A294" s="251"/>
      <c r="J294" s="264"/>
      <c r="V294" s="1284"/>
      <c r="W294" s="1284"/>
    </row>
    <row r="295" spans="1:29" s="22" customFormat="1" ht="15.75">
      <c r="A295" s="251"/>
      <c r="J295" s="264"/>
      <c r="V295" s="1284"/>
      <c r="W295" s="1284"/>
    </row>
    <row r="296" spans="1:29" s="22" customFormat="1" ht="15.75">
      <c r="A296" s="251"/>
      <c r="J296" s="264"/>
      <c r="K296" s="1364"/>
      <c r="V296" s="1284"/>
      <c r="W296" s="1284"/>
    </row>
    <row r="297" spans="1:29" s="22" customFormat="1" ht="15.75">
      <c r="A297" s="251"/>
      <c r="J297" s="264"/>
      <c r="V297" s="1284"/>
      <c r="W297" s="1284"/>
    </row>
    <row r="298" spans="1:29" s="22" customFormat="1" ht="15.75">
      <c r="A298" s="251"/>
      <c r="J298" s="264"/>
      <c r="V298" s="1284"/>
      <c r="W298" s="1284"/>
    </row>
    <row r="299" spans="1:29" s="22" customFormat="1" ht="15.75">
      <c r="A299" s="251"/>
      <c r="J299" s="264"/>
      <c r="V299" s="1284"/>
      <c r="W299" s="1284"/>
    </row>
    <row r="300" spans="1:29" s="22" customFormat="1" ht="15.75">
      <c r="A300" s="251"/>
      <c r="J300" s="264"/>
      <c r="V300" s="1284"/>
      <c r="W300" s="1284"/>
    </row>
    <row r="301" spans="1:29" s="22" customFormat="1" ht="15.75">
      <c r="A301" s="251"/>
      <c r="J301" s="264"/>
      <c r="V301" s="1284"/>
      <c r="W301" s="1284"/>
    </row>
    <row r="302" spans="1:29" s="22" customFormat="1" ht="15.75">
      <c r="A302" s="251"/>
      <c r="J302" s="264"/>
      <c r="V302" s="1284"/>
      <c r="W302" s="1284"/>
    </row>
    <row r="303" spans="1:29" s="22" customFormat="1" ht="15.75">
      <c r="A303" s="251"/>
      <c r="J303" s="264"/>
      <c r="V303" s="1284"/>
      <c r="W303" s="1284"/>
    </row>
    <row r="304" spans="1:29" s="22" customFormat="1" ht="15.75">
      <c r="A304" s="251"/>
      <c r="J304" s="264"/>
      <c r="V304" s="1284"/>
      <c r="W304" s="1284"/>
    </row>
    <row r="305" spans="1:23" s="22" customFormat="1" ht="15.75">
      <c r="A305" s="251"/>
      <c r="J305" s="264"/>
      <c r="V305" s="1284"/>
      <c r="W305" s="1284"/>
    </row>
    <row r="306" spans="1:23" s="22" customFormat="1" ht="15.75">
      <c r="A306" s="251"/>
      <c r="J306" s="264"/>
      <c r="V306" s="1284"/>
      <c r="W306" s="1284"/>
    </row>
    <row r="307" spans="1:23" s="22" customFormat="1" ht="15.75">
      <c r="A307" s="251"/>
      <c r="J307" s="264"/>
      <c r="K307" s="22" t="s">
        <v>2278</v>
      </c>
      <c r="V307" s="1284"/>
      <c r="W307" s="1284"/>
    </row>
    <row r="308" spans="1:23" s="22" customFormat="1" ht="15.75">
      <c r="A308" s="251"/>
      <c r="J308" s="264"/>
      <c r="V308" s="1284"/>
      <c r="W308" s="1284"/>
    </row>
    <row r="309" spans="1:23" s="22" customFormat="1" ht="15.75">
      <c r="A309" s="251"/>
      <c r="J309" s="264"/>
      <c r="K309" s="22" t="s">
        <v>2279</v>
      </c>
      <c r="L309" s="22" t="s">
        <v>2280</v>
      </c>
      <c r="V309" s="1284"/>
      <c r="W309" s="1284"/>
    </row>
    <row r="310" spans="1:23" s="22" customFormat="1" ht="15.75">
      <c r="A310" s="251"/>
      <c r="J310" s="264"/>
      <c r="K310" s="22" t="s">
        <v>2281</v>
      </c>
      <c r="L310" s="22" t="s">
        <v>2282</v>
      </c>
      <c r="V310" s="1284"/>
      <c r="W310" s="1284"/>
    </row>
    <row r="311" spans="1:23" s="22" customFormat="1" ht="15.75">
      <c r="A311" s="251"/>
      <c r="J311" s="264"/>
      <c r="V311" s="1284"/>
      <c r="W311" s="1284"/>
    </row>
    <row r="312" spans="1:23" s="22" customFormat="1" ht="15.75">
      <c r="A312" s="251"/>
      <c r="J312" s="264"/>
      <c r="K312" s="22" t="s">
        <v>2283</v>
      </c>
      <c r="V312" s="1284"/>
      <c r="W312" s="1284"/>
    </row>
    <row r="313" spans="1:23" s="22" customFormat="1" ht="15.75">
      <c r="A313" s="251"/>
      <c r="J313" s="264"/>
      <c r="V313" s="1284"/>
      <c r="W313" s="1284"/>
    </row>
    <row r="314" spans="1:23" s="22" customFormat="1" ht="15.75">
      <c r="A314" s="251"/>
      <c r="J314" s="264"/>
      <c r="K314" s="22" t="s">
        <v>2279</v>
      </c>
      <c r="L314" s="22" t="s">
        <v>2284</v>
      </c>
      <c r="V314" s="1284"/>
      <c r="W314" s="1284"/>
    </row>
    <row r="315" spans="1:23" s="22" customFormat="1" ht="15.75">
      <c r="A315" s="251"/>
      <c r="J315" s="264"/>
      <c r="K315" s="22" t="s">
        <v>2285</v>
      </c>
      <c r="L315" s="22" t="s">
        <v>2286</v>
      </c>
      <c r="V315" s="1284"/>
      <c r="W315" s="1284"/>
    </row>
    <row r="316" spans="1:23" s="22" customFormat="1" ht="15.75">
      <c r="A316" s="251"/>
      <c r="J316" s="264"/>
      <c r="V316" s="1284"/>
      <c r="W316" s="1284"/>
    </row>
    <row r="317" spans="1:23" s="22" customFormat="1" ht="15.75">
      <c r="A317" s="251"/>
      <c r="J317" s="264"/>
      <c r="V317" s="1284"/>
      <c r="W317" s="1284"/>
    </row>
    <row r="318" spans="1:23" s="22" customFormat="1" ht="15.75">
      <c r="A318" s="251"/>
      <c r="J318" s="264"/>
      <c r="V318" s="1284"/>
      <c r="W318" s="1284"/>
    </row>
    <row r="319" spans="1:23" s="22" customFormat="1" ht="15.75">
      <c r="A319" s="251"/>
      <c r="J319" s="264"/>
      <c r="V319" s="1284"/>
      <c r="W319" s="1284"/>
    </row>
    <row r="320" spans="1:23" s="22" customFormat="1" ht="15.75">
      <c r="A320" s="251"/>
      <c r="J320" s="264"/>
      <c r="V320" s="1284"/>
      <c r="W320" s="1284"/>
    </row>
    <row r="321" spans="1:29" s="22" customFormat="1" ht="15.75">
      <c r="A321" s="251"/>
      <c r="J321" s="264"/>
      <c r="V321" s="1284"/>
      <c r="W321" s="1284"/>
    </row>
    <row r="322" spans="1:29" s="22" customFormat="1" ht="15.75">
      <c r="A322" s="251"/>
      <c r="J322" s="264"/>
      <c r="V322" s="1284"/>
      <c r="W322" s="1284"/>
    </row>
    <row r="323" spans="1:29" ht="15.75">
      <c r="A323" s="251"/>
      <c r="B323" s="22"/>
      <c r="C323" s="22"/>
      <c r="D323" s="22"/>
      <c r="E323" s="22"/>
      <c r="F323" s="22"/>
      <c r="G323" s="22"/>
      <c r="H323" s="22"/>
      <c r="I323" s="22"/>
      <c r="J323" s="264"/>
      <c r="K323" s="22"/>
      <c r="L323" s="22"/>
      <c r="M323" s="22"/>
      <c r="N323" s="22"/>
      <c r="O323" s="22"/>
      <c r="P323" s="22"/>
      <c r="Q323" s="22"/>
      <c r="Z323" s="22"/>
      <c r="AA323" s="22"/>
      <c r="AB323" s="22"/>
      <c r="AC323" s="22"/>
    </row>
    <row r="324" spans="1:29" ht="23.25">
      <c r="A324" s="1802" t="s">
        <v>90</v>
      </c>
      <c r="B324" s="1803"/>
      <c r="C324" s="1803"/>
      <c r="D324" s="1803"/>
      <c r="E324" s="1803"/>
      <c r="F324" s="1803"/>
      <c r="G324" s="1803"/>
      <c r="H324" s="1803"/>
      <c r="I324" s="1803"/>
      <c r="J324" s="1803"/>
      <c r="K324" s="1803"/>
      <c r="L324" s="1803"/>
      <c r="M324" s="1803"/>
      <c r="N324" s="1803"/>
      <c r="O324" s="1803"/>
      <c r="P324" s="1803"/>
      <c r="Q324" s="1804"/>
      <c r="Z324" s="22"/>
      <c r="AA324" s="22"/>
      <c r="AB324" s="22"/>
      <c r="AC324" s="22"/>
    </row>
    <row r="325" spans="1:29" ht="42" customHeight="1" thickBot="1">
      <c r="A325" s="589" t="s">
        <v>1589</v>
      </c>
      <c r="Z325" s="22"/>
      <c r="AA325" s="22"/>
      <c r="AB325" s="22"/>
      <c r="AC325" s="22"/>
    </row>
    <row r="326" spans="1:29" ht="30">
      <c r="A326" s="1979" t="s">
        <v>1058</v>
      </c>
      <c r="B326" s="617" t="s">
        <v>1591</v>
      </c>
      <c r="C326" s="617" t="s">
        <v>1591</v>
      </c>
      <c r="D326" s="617" t="s">
        <v>1592</v>
      </c>
      <c r="E326" s="617" t="s">
        <v>1592</v>
      </c>
      <c r="G326" s="1380" t="s">
        <v>2182</v>
      </c>
      <c r="Z326" s="22"/>
      <c r="AA326" s="22"/>
      <c r="AB326" s="22"/>
      <c r="AC326" s="22"/>
    </row>
    <row r="327" spans="1:29" ht="18.75" thickBot="1">
      <c r="A327" s="1980"/>
      <c r="B327" s="618" t="s">
        <v>1593</v>
      </c>
      <c r="C327" s="618" t="s">
        <v>967</v>
      </c>
      <c r="D327" s="618" t="s">
        <v>1593</v>
      </c>
      <c r="E327" s="618" t="s">
        <v>967</v>
      </c>
      <c r="G327" s="1380"/>
      <c r="Z327" s="22"/>
      <c r="AA327" s="22"/>
      <c r="AB327" s="22"/>
      <c r="AC327" s="22"/>
    </row>
    <row r="328" spans="1:29" ht="16.5" thickBot="1">
      <c r="A328" s="683" t="s">
        <v>722</v>
      </c>
      <c r="B328" s="684">
        <v>0.56699999999999995</v>
      </c>
      <c r="C328" s="684" t="s">
        <v>2287</v>
      </c>
      <c r="D328" s="684">
        <v>72.900000000000006</v>
      </c>
      <c r="E328" s="684" t="s">
        <v>1599</v>
      </c>
      <c r="Z328" s="22"/>
      <c r="AA328" s="22"/>
      <c r="AB328" s="22"/>
      <c r="AC328" s="22"/>
    </row>
    <row r="329" spans="1:29" ht="16.5" thickBot="1">
      <c r="A329" s="683" t="s">
        <v>185</v>
      </c>
      <c r="B329" s="684">
        <v>0.313</v>
      </c>
      <c r="C329" s="10" t="s">
        <v>1603</v>
      </c>
      <c r="D329" s="684">
        <v>75.3</v>
      </c>
      <c r="E329" s="684" t="s">
        <v>1599</v>
      </c>
      <c r="G329" t="s">
        <v>2288</v>
      </c>
      <c r="H329" t="s">
        <v>722</v>
      </c>
      <c r="I329" t="s">
        <v>2289</v>
      </c>
      <c r="J329">
        <v>0.56728999999999996</v>
      </c>
      <c r="Z329" s="22"/>
      <c r="AA329" s="22"/>
      <c r="AB329" s="22"/>
      <c r="AC329" s="22"/>
    </row>
    <row r="330" spans="1:29" ht="72" thickBot="1">
      <c r="A330" s="683" t="s">
        <v>723</v>
      </c>
      <c r="B330" s="684">
        <v>0.18</v>
      </c>
      <c r="C330" s="684" t="s">
        <v>2287</v>
      </c>
      <c r="D330" s="684">
        <v>45.6</v>
      </c>
      <c r="E330" s="684" t="s">
        <v>1606</v>
      </c>
      <c r="G330" s="1245" t="s">
        <v>2290</v>
      </c>
      <c r="I330" t="s">
        <v>2289</v>
      </c>
      <c r="J330">
        <v>1.1468799999999999E-2</v>
      </c>
      <c r="K330" t="s">
        <v>2291</v>
      </c>
      <c r="Z330" s="22"/>
      <c r="AA330" s="22"/>
      <c r="AB330" s="22"/>
      <c r="AC330" s="22"/>
    </row>
    <row r="331" spans="1:29" ht="29.25" thickBot="1">
      <c r="A331" s="683"/>
      <c r="B331" s="684"/>
      <c r="C331" s="684"/>
      <c r="D331" s="684"/>
      <c r="E331" s="684"/>
      <c r="G331" s="1245" t="s">
        <v>2292</v>
      </c>
      <c r="H331" t="s">
        <v>722</v>
      </c>
      <c r="I331" t="s">
        <v>2293</v>
      </c>
      <c r="J331">
        <v>0.5333</v>
      </c>
      <c r="L331" s="10" t="s">
        <v>2294</v>
      </c>
      <c r="Z331" s="22"/>
      <c r="AA331" s="22"/>
      <c r="AB331" s="22"/>
      <c r="AC331" s="22"/>
    </row>
    <row r="332" spans="1:29" ht="45">
      <c r="A332" s="685"/>
      <c r="B332" s="2151"/>
      <c r="C332" s="2151"/>
      <c r="D332" s="2151"/>
      <c r="E332" s="2151"/>
      <c r="G332" s="1265" t="s">
        <v>2295</v>
      </c>
      <c r="H332" t="s">
        <v>185</v>
      </c>
      <c r="I332" t="s">
        <v>2289</v>
      </c>
      <c r="J332">
        <v>0.313</v>
      </c>
      <c r="L332" s="1262" t="s">
        <v>1603</v>
      </c>
      <c r="Z332" s="22"/>
      <c r="AA332" s="22"/>
      <c r="AB332" s="22"/>
      <c r="AC332" s="22"/>
    </row>
    <row r="333" spans="1:29" ht="45.75" thickBot="1">
      <c r="A333" s="686"/>
      <c r="B333" s="2152"/>
      <c r="C333" s="2152"/>
      <c r="D333" s="2152"/>
      <c r="E333" s="2152"/>
      <c r="G333" s="1265" t="s">
        <v>2296</v>
      </c>
      <c r="H333" t="s">
        <v>2297</v>
      </c>
      <c r="I333" t="s">
        <v>2298</v>
      </c>
      <c r="J333">
        <v>0.78700000000000003</v>
      </c>
      <c r="L333" s="1262" t="s">
        <v>2299</v>
      </c>
    </row>
    <row r="334" spans="1:29" ht="30.75" thickBot="1">
      <c r="A334" s="686"/>
      <c r="B334" s="684"/>
      <c r="C334" s="684"/>
      <c r="D334" s="684"/>
      <c r="E334" s="684"/>
      <c r="G334" s="1265" t="s">
        <v>2300</v>
      </c>
      <c r="H334" t="s">
        <v>722</v>
      </c>
      <c r="I334" t="s">
        <v>2289</v>
      </c>
      <c r="J334">
        <v>7.2900000000000006E-2</v>
      </c>
      <c r="K334" t="s">
        <v>2262</v>
      </c>
      <c r="L334" s="10" t="s">
        <v>2301</v>
      </c>
    </row>
    <row r="335" spans="1:29" ht="15.75" thickBot="1">
      <c r="A335" s="683"/>
      <c r="B335" s="684"/>
      <c r="C335" s="684"/>
      <c r="D335" s="684"/>
      <c r="E335" s="684"/>
    </row>
    <row r="336" spans="1:29">
      <c r="A336" s="687"/>
      <c r="B336" s="2151"/>
      <c r="C336" s="2151"/>
      <c r="D336" s="2151"/>
      <c r="E336" s="2151"/>
    </row>
    <row r="337" spans="1:5" ht="15.75" thickBot="1">
      <c r="A337" s="686"/>
      <c r="B337" s="2152"/>
      <c r="C337" s="2152"/>
      <c r="D337" s="2152"/>
      <c r="E337" s="2152"/>
    </row>
    <row r="338" spans="1:5" ht="15.75" thickBot="1">
      <c r="A338" s="686"/>
      <c r="B338" s="684"/>
      <c r="C338" s="684"/>
      <c r="D338" s="684"/>
      <c r="E338" s="684"/>
    </row>
    <row r="339" spans="1:5">
      <c r="A339" s="602"/>
      <c r="B339" s="603"/>
      <c r="C339" s="603"/>
      <c r="D339" s="603"/>
      <c r="E339" s="603"/>
    </row>
    <row r="340" spans="1:5" ht="15.75" thickBot="1">
      <c r="A340" s="589" t="s">
        <v>2302</v>
      </c>
    </row>
    <row r="341" spans="1:5" ht="30">
      <c r="A341" s="1979" t="s">
        <v>2303</v>
      </c>
      <c r="B341" s="617" t="s">
        <v>1591</v>
      </c>
      <c r="C341" s="617" t="s">
        <v>1591</v>
      </c>
      <c r="D341" s="617" t="s">
        <v>1592</v>
      </c>
      <c r="E341" s="617" t="s">
        <v>1592</v>
      </c>
    </row>
    <row r="342" spans="1:5" ht="18.75" thickBot="1">
      <c r="A342" s="1980"/>
      <c r="B342" s="618" t="s">
        <v>1593</v>
      </c>
      <c r="C342" s="618" t="s">
        <v>1594</v>
      </c>
      <c r="D342" s="618" t="s">
        <v>1593</v>
      </c>
      <c r="E342" s="618" t="s">
        <v>1594</v>
      </c>
    </row>
    <row r="343" spans="1:5" ht="15.75" thickBot="1">
      <c r="A343" s="590" t="s">
        <v>1039</v>
      </c>
      <c r="B343" s="599"/>
      <c r="C343" s="599"/>
      <c r="D343" s="599"/>
      <c r="E343" s="599"/>
    </row>
    <row r="344" spans="1:5">
      <c r="A344" s="602"/>
      <c r="B344" s="603"/>
      <c r="C344" s="603"/>
      <c r="D344" s="603"/>
      <c r="E344" s="603"/>
    </row>
    <row r="345" spans="1:5" ht="15.75" thickBot="1">
      <c r="A345" s="589" t="s">
        <v>2304</v>
      </c>
    </row>
    <row r="346" spans="1:5">
      <c r="A346" s="1979" t="s">
        <v>2305</v>
      </c>
      <c r="B346" s="617" t="s">
        <v>1819</v>
      </c>
    </row>
    <row r="347" spans="1:5" ht="18.75" thickBot="1">
      <c r="A347" s="1980"/>
      <c r="B347" s="618" t="s">
        <v>1593</v>
      </c>
    </row>
    <row r="348" spans="1:5" ht="15.75" thickBot="1">
      <c r="A348" s="590"/>
      <c r="B348" s="599"/>
    </row>
    <row r="349" spans="1:5">
      <c r="A349" s="600"/>
      <c r="B349" s="2149"/>
    </row>
    <row r="350" spans="1:5" ht="15.75" thickBot="1">
      <c r="A350" s="590"/>
      <c r="B350" s="2150"/>
    </row>
    <row r="351" spans="1:5">
      <c r="A351" s="601"/>
      <c r="B351" s="2149"/>
    </row>
    <row r="352" spans="1:5" ht="15.75" thickBot="1">
      <c r="A352" s="590"/>
      <c r="B352" s="2150"/>
    </row>
    <row r="353" spans="1:39" ht="15.75" thickBot="1">
      <c r="A353" s="590"/>
      <c r="B353" s="599"/>
    </row>
    <row r="354" spans="1:39" ht="15.75" thickBot="1">
      <c r="A354" s="590"/>
      <c r="B354" s="599"/>
    </row>
    <row r="356" spans="1:39" ht="33.75">
      <c r="A356" s="288" t="s">
        <v>2306</v>
      </c>
    </row>
    <row r="358" spans="1:39" s="1278" customFormat="1">
      <c r="A358" s="250" t="s">
        <v>2271</v>
      </c>
      <c r="B358" s="279"/>
      <c r="C358" s="279"/>
      <c r="D358"/>
      <c r="E358"/>
      <c r="F358"/>
      <c r="G358"/>
      <c r="H358"/>
      <c r="I358"/>
      <c r="J358"/>
      <c r="K358"/>
      <c r="L358"/>
      <c r="M358"/>
      <c r="N358"/>
      <c r="O358"/>
      <c r="P358"/>
      <c r="Q358"/>
      <c r="R358"/>
      <c r="S358"/>
      <c r="T358"/>
      <c r="U358"/>
      <c r="X358"/>
      <c r="Y358"/>
      <c r="Z358"/>
      <c r="AA358"/>
      <c r="AB358"/>
      <c r="AC358"/>
      <c r="AD358"/>
      <c r="AE358"/>
      <c r="AF358"/>
      <c r="AG358"/>
      <c r="AH358"/>
      <c r="AI358"/>
      <c r="AJ358"/>
      <c r="AK358"/>
      <c r="AL358"/>
      <c r="AM358"/>
    </row>
    <row r="360" spans="1:39" s="1278" customFormat="1" ht="23.25">
      <c r="A360" s="1802" t="s">
        <v>143</v>
      </c>
      <c r="B360" s="1803"/>
      <c r="C360" s="1803"/>
      <c r="D360" s="1803"/>
      <c r="E360" s="1803"/>
      <c r="F360" s="1803"/>
      <c r="G360" s="1803"/>
      <c r="H360" s="1803"/>
      <c r="I360" s="1803"/>
      <c r="J360" s="1803"/>
      <c r="K360" s="1803"/>
      <c r="L360" s="1803"/>
      <c r="M360" s="1803"/>
      <c r="N360" s="1803"/>
      <c r="O360" s="1803"/>
      <c r="P360" s="1803"/>
      <c r="Q360" s="1804"/>
      <c r="R360"/>
      <c r="S360"/>
      <c r="T360"/>
      <c r="U360"/>
      <c r="X360"/>
      <c r="Y360"/>
      <c r="Z360"/>
      <c r="AA360"/>
      <c r="AB360"/>
      <c r="AC360"/>
      <c r="AD360"/>
      <c r="AE360"/>
      <c r="AF360"/>
      <c r="AG360"/>
      <c r="AH360"/>
      <c r="AI360"/>
      <c r="AJ360"/>
      <c r="AK360"/>
      <c r="AL360"/>
      <c r="AM360"/>
    </row>
    <row r="361" spans="1:39" s="1278" customFormat="1" ht="23.25" customHeight="1">
      <c r="A361"/>
      <c r="B361"/>
      <c r="C361"/>
      <c r="D361"/>
      <c r="E361"/>
      <c r="F361"/>
      <c r="G361"/>
      <c r="H361"/>
      <c r="I361"/>
      <c r="J361"/>
      <c r="K361"/>
      <c r="L361"/>
      <c r="M361"/>
      <c r="N361"/>
      <c r="O361"/>
      <c r="P361"/>
      <c r="Q361"/>
      <c r="R361"/>
      <c r="S361"/>
      <c r="T361"/>
      <c r="U361"/>
      <c r="X361"/>
      <c r="Y361"/>
      <c r="Z361"/>
      <c r="AA361"/>
      <c r="AB361"/>
      <c r="AC361"/>
      <c r="AD361"/>
      <c r="AE361"/>
      <c r="AF361"/>
      <c r="AG361"/>
      <c r="AH361"/>
      <c r="AI361"/>
      <c r="AJ361"/>
      <c r="AK361"/>
      <c r="AL361"/>
      <c r="AM361"/>
    </row>
    <row r="362" spans="1:39" s="1278" customFormat="1" ht="15" customHeight="1">
      <c r="A362" s="1946" t="s">
        <v>2307</v>
      </c>
      <c r="B362" s="1946"/>
      <c r="C362" s="1946"/>
      <c r="D362" s="1946"/>
      <c r="E362" s="1946"/>
      <c r="F362" s="1946"/>
      <c r="G362" s="1946"/>
      <c r="H362" s="1946"/>
      <c r="I362"/>
      <c r="J362" s="80" t="s">
        <v>2308</v>
      </c>
      <c r="K362"/>
      <c r="L362"/>
      <c r="M362"/>
      <c r="N362"/>
      <c r="O362"/>
      <c r="P362"/>
      <c r="Q362"/>
      <c r="R362"/>
      <c r="S362"/>
      <c r="T362"/>
      <c r="U362"/>
      <c r="X362"/>
      <c r="Y362"/>
      <c r="Z362"/>
      <c r="AA362"/>
      <c r="AB362"/>
      <c r="AC362"/>
      <c r="AD362"/>
      <c r="AE362"/>
      <c r="AF362"/>
      <c r="AG362"/>
      <c r="AH362"/>
      <c r="AI362"/>
      <c r="AJ362"/>
      <c r="AK362"/>
      <c r="AL362"/>
      <c r="AM362"/>
    </row>
    <row r="363" spans="1:39" s="1278" customFormat="1">
      <c r="A363" s="1947"/>
      <c r="B363" s="1947"/>
      <c r="C363" s="1947"/>
      <c r="D363" s="1947"/>
      <c r="E363" s="1947"/>
      <c r="F363" s="1947"/>
      <c r="G363" s="1947"/>
      <c r="H363" s="1947"/>
      <c r="I363"/>
      <c r="J363"/>
      <c r="K363"/>
      <c r="L363"/>
      <c r="M363"/>
      <c r="N363"/>
      <c r="O363"/>
      <c r="P363"/>
      <c r="Q363"/>
      <c r="R363"/>
      <c r="S363"/>
      <c r="T363"/>
      <c r="U363"/>
      <c r="X363"/>
      <c r="Y363"/>
      <c r="Z363"/>
      <c r="AA363"/>
      <c r="AB363"/>
      <c r="AC363"/>
      <c r="AD363"/>
      <c r="AE363"/>
      <c r="AF363"/>
      <c r="AG363"/>
      <c r="AH363"/>
      <c r="AI363"/>
      <c r="AJ363"/>
      <c r="AK363"/>
      <c r="AL363"/>
      <c r="AM363"/>
    </row>
    <row r="364" spans="1:39" s="1278" customFormat="1" ht="18.75">
      <c r="A364" s="1834" t="s">
        <v>2309</v>
      </c>
      <c r="B364" s="1835"/>
      <c r="C364" s="1835"/>
      <c r="D364" s="1835"/>
      <c r="E364" s="1835"/>
      <c r="F364" s="1835"/>
      <c r="G364" s="1835"/>
      <c r="H364" s="1835"/>
      <c r="I364" s="1835"/>
      <c r="J364" s="1835"/>
      <c r="K364" s="1835"/>
      <c r="L364" s="1835"/>
      <c r="M364" s="1835"/>
      <c r="N364" s="1836"/>
      <c r="O364"/>
      <c r="P364"/>
      <c r="Q364" s="1269" t="s">
        <v>2310</v>
      </c>
      <c r="R364"/>
      <c r="S364"/>
      <c r="T364"/>
      <c r="U364"/>
      <c r="X364"/>
      <c r="Y364"/>
      <c r="Z364"/>
      <c r="AA364"/>
      <c r="AB364"/>
      <c r="AC364"/>
      <c r="AD364"/>
      <c r="AE364"/>
      <c r="AF364"/>
      <c r="AG364"/>
      <c r="AH364"/>
      <c r="AI364"/>
      <c r="AJ364"/>
      <c r="AK364"/>
      <c r="AL364"/>
      <c r="AM364"/>
    </row>
    <row r="365" spans="1:39" s="1278" customFormat="1" ht="18.75" customHeight="1">
      <c r="A365" s="1810" t="s">
        <v>1613</v>
      </c>
      <c r="B365" s="1837"/>
      <c r="C365" s="170" t="s">
        <v>1340</v>
      </c>
      <c r="D365" s="171" t="s">
        <v>1614</v>
      </c>
      <c r="E365" s="172" t="s">
        <v>1615</v>
      </c>
      <c r="F365" s="172" t="s">
        <v>1616</v>
      </c>
      <c r="G365" s="172" t="s">
        <v>1617</v>
      </c>
      <c r="H365" s="170" t="s">
        <v>1618</v>
      </c>
      <c r="I365" s="1837" t="s">
        <v>1619</v>
      </c>
      <c r="J365" s="1837"/>
      <c r="K365" s="1837"/>
      <c r="L365" s="1837"/>
      <c r="M365" s="1837"/>
      <c r="N365" s="1938"/>
      <c r="O365"/>
      <c r="P365"/>
      <c r="Q365"/>
      <c r="R365"/>
      <c r="S365"/>
      <c r="T365"/>
      <c r="U365"/>
      <c r="X365"/>
      <c r="Y365"/>
      <c r="Z365"/>
      <c r="AA365"/>
      <c r="AB365"/>
      <c r="AC365"/>
      <c r="AD365"/>
      <c r="AE365"/>
      <c r="AF365"/>
      <c r="AG365"/>
      <c r="AH365"/>
      <c r="AI365"/>
      <c r="AJ365"/>
      <c r="AK365"/>
      <c r="AL365"/>
      <c r="AM365"/>
    </row>
    <row r="366" spans="1:39" s="1278" customFormat="1" ht="16.5" customHeight="1">
      <c r="A366" s="8" t="s">
        <v>1620</v>
      </c>
      <c r="B366" s="37" t="s">
        <v>1620</v>
      </c>
      <c r="C366" s="173" t="s">
        <v>1621</v>
      </c>
      <c r="D366" s="174">
        <v>0.10499999999999998</v>
      </c>
      <c r="E366" s="175">
        <v>0.10321771875918379</v>
      </c>
      <c r="F366" s="176">
        <v>1.3794746445945858E-4</v>
      </c>
      <c r="G366" s="175">
        <v>1.644333776356746E-3</v>
      </c>
      <c r="H366" s="177"/>
      <c r="I366" s="1939" t="s">
        <v>1622</v>
      </c>
      <c r="J366" s="1939"/>
      <c r="K366" s="1939"/>
      <c r="L366" s="1939"/>
      <c r="M366" s="1939"/>
      <c r="N366" s="1940"/>
      <c r="O366"/>
      <c r="P366"/>
      <c r="Q366"/>
      <c r="R366"/>
      <c r="S366"/>
      <c r="T366"/>
      <c r="U366"/>
      <c r="X366"/>
      <c r="Y366"/>
      <c r="Z366"/>
      <c r="AA366"/>
      <c r="AB366"/>
      <c r="AC366"/>
      <c r="AD366"/>
      <c r="AE366"/>
      <c r="AF366"/>
      <c r="AG366"/>
      <c r="AH366"/>
      <c r="AI366"/>
      <c r="AJ366"/>
      <c r="AK366"/>
      <c r="AL366"/>
      <c r="AM366"/>
    </row>
    <row r="367" spans="1:39" s="1278" customFormat="1">
      <c r="A367" s="8" t="s">
        <v>1624</v>
      </c>
      <c r="B367" s="37" t="s">
        <v>1624</v>
      </c>
      <c r="C367" s="173" t="s">
        <v>1621</v>
      </c>
      <c r="D367" s="174">
        <v>0.38999999999999996</v>
      </c>
      <c r="E367" s="175">
        <v>0.38338009824839692</v>
      </c>
      <c r="F367" s="176">
        <v>5.1237629656370332E-4</v>
      </c>
      <c r="G367" s="175">
        <v>6.1075254550393429E-3</v>
      </c>
      <c r="H367" s="177"/>
      <c r="I367" s="1939" t="s">
        <v>1625</v>
      </c>
      <c r="J367" s="1939"/>
      <c r="K367" s="1939"/>
      <c r="L367" s="1939"/>
      <c r="M367" s="1939"/>
      <c r="N367" s="1940"/>
      <c r="O367"/>
      <c r="P367"/>
      <c r="Q367"/>
      <c r="R367" s="165"/>
      <c r="S367"/>
      <c r="T367"/>
      <c r="U367"/>
      <c r="X367"/>
      <c r="Y367"/>
      <c r="Z367"/>
      <c r="AA367"/>
      <c r="AB367"/>
      <c r="AC367"/>
      <c r="AD367"/>
      <c r="AE367"/>
      <c r="AF367"/>
      <c r="AG367"/>
      <c r="AH367"/>
      <c r="AI367"/>
      <c r="AJ367"/>
      <c r="AK367"/>
      <c r="AL367"/>
      <c r="AM367"/>
    </row>
    <row r="368" spans="1:39" s="1278" customFormat="1">
      <c r="A368" s="8" t="s">
        <v>2311</v>
      </c>
      <c r="B368" s="37" t="s">
        <v>2311</v>
      </c>
      <c r="C368" s="173" t="s">
        <v>1621</v>
      </c>
      <c r="D368" s="174">
        <v>0.13499999999999998</v>
      </c>
      <c r="E368" s="175">
        <v>0.13270849554752201</v>
      </c>
      <c r="F368" s="176">
        <v>1.7736102573358961E-4</v>
      </c>
      <c r="G368" s="175">
        <v>2.1141434267443878E-3</v>
      </c>
      <c r="H368" s="177"/>
      <c r="I368" s="1939" t="s">
        <v>1628</v>
      </c>
      <c r="J368" s="1939"/>
      <c r="K368" s="1939"/>
      <c r="L368" s="1939"/>
      <c r="M368" s="1939"/>
      <c r="N368" s="1940"/>
      <c r="O368"/>
      <c r="P368"/>
      <c r="Q368"/>
      <c r="R368"/>
      <c r="S368"/>
      <c r="T368"/>
      <c r="U368"/>
      <c r="X368"/>
      <c r="Y368"/>
      <c r="Z368"/>
      <c r="AA368"/>
      <c r="AB368"/>
      <c r="AC368"/>
      <c r="AD368"/>
      <c r="AE368"/>
      <c r="AF368"/>
      <c r="AG368"/>
      <c r="AH368"/>
      <c r="AI368"/>
      <c r="AJ368"/>
      <c r="AK368"/>
      <c r="AL368"/>
      <c r="AM368"/>
    </row>
    <row r="370" spans="1:39" s="1278" customFormat="1">
      <c r="A370" s="1834" t="s">
        <v>1632</v>
      </c>
      <c r="B370" s="1835"/>
      <c r="C370" s="1835"/>
      <c r="D370" s="1835"/>
      <c r="E370" s="1835"/>
      <c r="F370" s="1835"/>
      <c r="G370" s="1835"/>
      <c r="H370" s="1835"/>
      <c r="I370" s="1835"/>
      <c r="J370" s="1835"/>
      <c r="K370" s="1835"/>
      <c r="L370" s="1835"/>
      <c r="M370" s="1835"/>
      <c r="N370" s="1835"/>
      <c r="O370" s="178"/>
      <c r="P370"/>
      <c r="Q370"/>
      <c r="R370"/>
      <c r="S370"/>
      <c r="T370"/>
      <c r="U370"/>
      <c r="X370"/>
      <c r="Y370"/>
      <c r="Z370"/>
      <c r="AA370"/>
      <c r="AB370"/>
      <c r="AC370"/>
      <c r="AD370"/>
      <c r="AE370"/>
      <c r="AF370"/>
      <c r="AG370"/>
      <c r="AH370"/>
      <c r="AI370"/>
      <c r="AJ370"/>
      <c r="AK370"/>
      <c r="AL370"/>
      <c r="AM370"/>
    </row>
    <row r="371" spans="1:39" s="1278" customFormat="1" ht="24" customHeight="1">
      <c r="A371" s="1923"/>
      <c r="B371" s="1924"/>
      <c r="C371" s="1924"/>
      <c r="D371" s="1925" t="s">
        <v>1633</v>
      </c>
      <c r="E371" s="1925"/>
      <c r="F371" s="1925"/>
      <c r="G371" s="1925"/>
      <c r="H371" s="1925" t="s">
        <v>1634</v>
      </c>
      <c r="I371" s="1925"/>
      <c r="J371" s="1925"/>
      <c r="K371" s="1925"/>
      <c r="L371" s="1925" t="s">
        <v>1635</v>
      </c>
      <c r="M371" s="1925"/>
      <c r="N371" s="1925"/>
      <c r="O371" s="1951"/>
      <c r="P371"/>
      <c r="Q371"/>
      <c r="R371" s="179"/>
      <c r="S371" s="179"/>
      <c r="T371"/>
      <c r="U371"/>
      <c r="X371"/>
      <c r="Y371"/>
      <c r="Z371"/>
      <c r="AA371"/>
      <c r="AB371"/>
      <c r="AC371"/>
      <c r="AD371"/>
      <c r="AE371"/>
      <c r="AF371"/>
      <c r="AG371"/>
      <c r="AH371"/>
      <c r="AI371"/>
      <c r="AJ371"/>
      <c r="AK371"/>
      <c r="AL371"/>
      <c r="AM371"/>
    </row>
    <row r="372" spans="1:39" s="1278" customFormat="1" ht="15" customHeight="1">
      <c r="A372" s="1810" t="s">
        <v>1613</v>
      </c>
      <c r="B372" s="1837"/>
      <c r="C372" s="170" t="s">
        <v>1340</v>
      </c>
      <c r="D372" s="171" t="s">
        <v>1614</v>
      </c>
      <c r="E372" s="172" t="s">
        <v>1615</v>
      </c>
      <c r="F372" s="172" t="s">
        <v>1616</v>
      </c>
      <c r="G372" s="172" t="s">
        <v>1617</v>
      </c>
      <c r="H372" s="171" t="s">
        <v>1614</v>
      </c>
      <c r="I372" s="172" t="s">
        <v>1615</v>
      </c>
      <c r="J372" s="172" t="s">
        <v>1616</v>
      </c>
      <c r="K372" s="172" t="s">
        <v>1617</v>
      </c>
      <c r="L372" s="171" t="s">
        <v>1614</v>
      </c>
      <c r="M372" s="172" t="s">
        <v>1615</v>
      </c>
      <c r="N372" s="172" t="s">
        <v>1616</v>
      </c>
      <c r="O372" s="172" t="s">
        <v>1617</v>
      </c>
      <c r="P372"/>
      <c r="Q372" s="179"/>
      <c r="R372" s="182"/>
      <c r="S372" s="182"/>
      <c r="T372" s="165"/>
      <c r="U372" s="165"/>
      <c r="V372" s="1285"/>
      <c r="X372"/>
      <c r="Y372"/>
      <c r="Z372"/>
      <c r="AA372"/>
      <c r="AB372"/>
      <c r="AC372"/>
      <c r="AD372"/>
      <c r="AE372"/>
      <c r="AF372"/>
      <c r="AG372"/>
      <c r="AH372"/>
      <c r="AI372"/>
      <c r="AJ372"/>
      <c r="AK372"/>
      <c r="AL372"/>
      <c r="AM372"/>
    </row>
    <row r="373" spans="1:39" s="1278" customFormat="1" ht="15" customHeight="1">
      <c r="A373" s="1833" t="s">
        <v>72</v>
      </c>
      <c r="B373" s="173" t="s">
        <v>1636</v>
      </c>
      <c r="C373" s="173" t="s">
        <v>1637</v>
      </c>
      <c r="D373" s="174">
        <v>0.2066628155465243</v>
      </c>
      <c r="E373" s="175">
        <v>0.19761314215060102</v>
      </c>
      <c r="F373" s="175">
        <v>2.3265754289924327E-3</v>
      </c>
      <c r="G373" s="175">
        <v>6.7230979669308617E-3</v>
      </c>
      <c r="H373" s="174">
        <v>0.19485305564163172</v>
      </c>
      <c r="I373" s="175">
        <v>0.18632052641477878</v>
      </c>
      <c r="J373" s="175">
        <v>2.1936231262554284E-3</v>
      </c>
      <c r="K373" s="175">
        <v>6.3389061005975061E-3</v>
      </c>
      <c r="L373" s="174">
        <v>0.18406067340854881</v>
      </c>
      <c r="M373" s="175">
        <v>0.17527400722888747</v>
      </c>
      <c r="N373" s="180">
        <v>2.0635682127304882E-3</v>
      </c>
      <c r="O373" s="181">
        <v>6.7230979669308617E-3</v>
      </c>
      <c r="P373"/>
      <c r="Q373" s="182"/>
      <c r="R373" s="182"/>
      <c r="S373" s="182"/>
      <c r="T373" s="165"/>
      <c r="U373" s="165"/>
      <c r="V373" s="1285"/>
      <c r="X373"/>
      <c r="Y373"/>
      <c r="Z373"/>
      <c r="AA373"/>
      <c r="AB373"/>
      <c r="AC373"/>
      <c r="AD373"/>
      <c r="AE373"/>
      <c r="AF373"/>
      <c r="AG373"/>
      <c r="AH373"/>
      <c r="AI373"/>
      <c r="AJ373"/>
      <c r="AK373"/>
      <c r="AL373"/>
      <c r="AM373"/>
    </row>
    <row r="374" spans="1:39" s="1278" customFormat="1">
      <c r="A374" s="1833"/>
      <c r="B374" s="173" t="s">
        <v>1638</v>
      </c>
      <c r="C374" s="173" t="s">
        <v>1637</v>
      </c>
      <c r="D374" s="174">
        <v>0.22190419819308019</v>
      </c>
      <c r="E374" s="175">
        <v>0.21218711138420757</v>
      </c>
      <c r="F374" s="175">
        <v>2.4981603668806211E-3</v>
      </c>
      <c r="G374" s="175">
        <v>7.2189264419920025E-3</v>
      </c>
      <c r="H374" s="174">
        <v>0.2092234684952019</v>
      </c>
      <c r="I374" s="175">
        <v>0.20006166523786859</v>
      </c>
      <c r="J374" s="175">
        <v>2.3554028318167651E-3</v>
      </c>
      <c r="K374" s="175">
        <v>6.8064004255165679E-3</v>
      </c>
      <c r="L374" s="174">
        <v>0.19763514807242924</v>
      </c>
      <c r="M374" s="175">
        <v>0.18820046526201786</v>
      </c>
      <c r="N374" s="180">
        <v>2.2157563684193611E-3</v>
      </c>
      <c r="O374" s="181">
        <v>7.2189264419920025E-3</v>
      </c>
      <c r="P374"/>
      <c r="Q374" s="182"/>
      <c r="R374" s="182"/>
      <c r="S374" s="182"/>
      <c r="T374" s="165"/>
      <c r="U374" s="165"/>
      <c r="V374" s="1285"/>
      <c r="X374"/>
      <c r="Y374"/>
      <c r="Z374"/>
      <c r="AA374"/>
      <c r="AB374"/>
      <c r="AC374"/>
      <c r="AD374"/>
      <c r="AE374"/>
      <c r="AF374"/>
      <c r="AG374"/>
      <c r="AH374"/>
      <c r="AI374"/>
      <c r="AJ374"/>
      <c r="AK374"/>
      <c r="AL374"/>
      <c r="AM374"/>
    </row>
    <row r="375" spans="1:39" s="1278" customFormat="1">
      <c r="A375" s="1833"/>
      <c r="B375" s="173" t="s">
        <v>1639</v>
      </c>
      <c r="C375" s="173" t="s">
        <v>1637</v>
      </c>
      <c r="D375" s="174">
        <v>0.2994027540230273</v>
      </c>
      <c r="E375" s="175">
        <v>0.2862920396906834</v>
      </c>
      <c r="F375" s="175">
        <v>3.3706261527527885E-3</v>
      </c>
      <c r="G375" s="175">
        <v>9.7400881795910894E-3</v>
      </c>
      <c r="H375" s="174">
        <v>0.28229336436081415</v>
      </c>
      <c r="I375" s="175">
        <v>0.2699318626434109</v>
      </c>
      <c r="J375" s="175">
        <v>3.1780115041625543E-3</v>
      </c>
      <c r="K375" s="175">
        <v>9.1834902132406429E-3</v>
      </c>
      <c r="L375" s="174">
        <v>0.2666579006006351</v>
      </c>
      <c r="M375" s="175">
        <v>0.2539282179728507</v>
      </c>
      <c r="N375" s="180">
        <v>2.989594448193294E-3</v>
      </c>
      <c r="O375" s="181">
        <v>9.7400881795910894E-3</v>
      </c>
      <c r="P375"/>
      <c r="Q375" s="182"/>
      <c r="R375" s="182"/>
      <c r="S375" s="182"/>
      <c r="T375" s="165"/>
      <c r="U375" s="165"/>
      <c r="V375" s="1285"/>
      <c r="X375"/>
      <c r="Y375"/>
      <c r="Z375"/>
      <c r="AA375"/>
      <c r="AB375"/>
      <c r="AC375"/>
      <c r="AD375"/>
      <c r="AE375"/>
      <c r="AF375"/>
      <c r="AG375"/>
      <c r="AH375"/>
      <c r="AI375"/>
      <c r="AJ375"/>
      <c r="AK375"/>
      <c r="AL375"/>
      <c r="AM375"/>
    </row>
    <row r="376" spans="1:39" s="1278" customFormat="1">
      <c r="A376" s="1833"/>
      <c r="B376" s="173" t="s">
        <v>1640</v>
      </c>
      <c r="C376" s="173" t="s">
        <v>1637</v>
      </c>
      <c r="D376" s="174">
        <v>0.31671076482504879</v>
      </c>
      <c r="E376" s="175">
        <v>0.30284214034579632</v>
      </c>
      <c r="F376" s="175">
        <v>3.5654768449309062E-3</v>
      </c>
      <c r="G376" s="175">
        <v>1.0303147634321554E-2</v>
      </c>
      <c r="H376" s="174">
        <v>0.29861230777080094</v>
      </c>
      <c r="I376" s="175">
        <v>0.28553620673064878</v>
      </c>
      <c r="J376" s="175">
        <v>3.361727440986448E-3</v>
      </c>
      <c r="K376" s="175">
        <v>9.7143735991656877E-3</v>
      </c>
      <c r="L376" s="174">
        <v>0.28207298199860104</v>
      </c>
      <c r="M376" s="175">
        <v>0.26860741607826999</v>
      </c>
      <c r="N376" s="180">
        <v>3.1624182860094719E-3</v>
      </c>
      <c r="O376" s="181">
        <v>1.0303147634321554E-2</v>
      </c>
      <c r="P376"/>
      <c r="Q376" s="182"/>
      <c r="R376" s="182"/>
      <c r="S376" s="182"/>
      <c r="T376" s="165"/>
      <c r="U376" s="165"/>
      <c r="V376" s="1285"/>
      <c r="X376"/>
      <c r="Y376"/>
      <c r="Z376"/>
      <c r="AA376"/>
      <c r="AB376"/>
      <c r="AC376"/>
      <c r="AD376"/>
      <c r="AE376"/>
      <c r="AF376"/>
      <c r="AG376"/>
      <c r="AH376"/>
      <c r="AI376"/>
      <c r="AJ376"/>
      <c r="AK376"/>
      <c r="AL376"/>
      <c r="AM376"/>
    </row>
    <row r="377" spans="1:39" s="1278" customFormat="1">
      <c r="A377" s="1833"/>
      <c r="B377" s="173" t="s">
        <v>1641</v>
      </c>
      <c r="C377" s="173" t="s">
        <v>1637</v>
      </c>
      <c r="D377" s="174">
        <v>0.36165992720641754</v>
      </c>
      <c r="E377" s="175">
        <v>0.34582299876355177</v>
      </c>
      <c r="F377" s="175">
        <v>4.0715070007367564E-3</v>
      </c>
      <c r="G377" s="175">
        <v>1.1765421442129005E-2</v>
      </c>
      <c r="H377" s="174">
        <v>0.34099284737285551</v>
      </c>
      <c r="I377" s="175">
        <v>0.32606092122586289</v>
      </c>
      <c r="J377" s="175">
        <v>3.8388404709470002E-3</v>
      </c>
      <c r="K377" s="175">
        <v>1.1093085676045635E-2</v>
      </c>
      <c r="L377" s="174">
        <v>0.32210617846496031</v>
      </c>
      <c r="M377" s="175">
        <v>0.30672951265055298</v>
      </c>
      <c r="N377" s="180">
        <v>3.6112443722783531E-3</v>
      </c>
      <c r="O377" s="181">
        <v>1.1765421442129005E-2</v>
      </c>
      <c r="P377"/>
      <c r="Q377" s="182"/>
      <c r="R377" s="182"/>
      <c r="S377" s="182"/>
      <c r="T377" s="165"/>
      <c r="U377" s="165"/>
      <c r="V377" s="1285"/>
      <c r="X377"/>
      <c r="Y377"/>
      <c r="Z377"/>
      <c r="AA377"/>
      <c r="AB377"/>
      <c r="AC377"/>
      <c r="AD377"/>
      <c r="AE377"/>
      <c r="AF377"/>
      <c r="AG377"/>
      <c r="AH377"/>
      <c r="AI377"/>
      <c r="AJ377"/>
      <c r="AK377"/>
      <c r="AL377"/>
      <c r="AM377"/>
    </row>
    <row r="378" spans="1:39" s="1278" customFormat="1">
      <c r="A378" s="1833" t="s">
        <v>1642</v>
      </c>
      <c r="B378" s="173" t="s">
        <v>1636</v>
      </c>
      <c r="C378" s="173" t="s">
        <v>1637</v>
      </c>
      <c r="D378" s="174">
        <v>0.21549870217003167</v>
      </c>
      <c r="E378" s="175">
        <v>0.21184080412909945</v>
      </c>
      <c r="F378" s="176">
        <v>2.8311904341580857E-4</v>
      </c>
      <c r="G378" s="176">
        <v>3.3747789975164377E-3</v>
      </c>
      <c r="H378" s="174">
        <v>0.19856781479305941</v>
      </c>
      <c r="I378" s="175">
        <v>0.19519730344700667</v>
      </c>
      <c r="J378" s="176">
        <v>2.6087549118055157E-4</v>
      </c>
      <c r="K378" s="175">
        <v>3.1096358548721747E-3</v>
      </c>
      <c r="L378" s="174">
        <v>0.18861837546244112</v>
      </c>
      <c r="M378" s="175">
        <v>0.18541674696472743</v>
      </c>
      <c r="N378" s="183">
        <v>2.478040632905325E-4</v>
      </c>
      <c r="O378" s="184">
        <v>2.9538244344231471E-3</v>
      </c>
      <c r="P378"/>
      <c r="Q378" s="182"/>
      <c r="R378" s="182"/>
      <c r="S378" s="182"/>
      <c r="T378" s="165"/>
      <c r="U378" s="165"/>
      <c r="V378" s="1285"/>
      <c r="X378"/>
      <c r="Y378"/>
      <c r="Z378"/>
      <c r="AA378"/>
      <c r="AB378"/>
      <c r="AC378"/>
      <c r="AD378"/>
      <c r="AE378"/>
      <c r="AF378"/>
      <c r="AG378"/>
      <c r="AH378"/>
      <c r="AI378"/>
      <c r="AJ378"/>
      <c r="AK378"/>
      <c r="AL378"/>
      <c r="AM378"/>
    </row>
    <row r="379" spans="1:39" s="1278" customFormat="1">
      <c r="A379" s="1833"/>
      <c r="B379" s="173" t="s">
        <v>1638</v>
      </c>
      <c r="C379" s="173" t="s">
        <v>1637</v>
      </c>
      <c r="D379" s="174">
        <v>0.20737737309871754</v>
      </c>
      <c r="E379" s="175">
        <v>0.20385732736687384</v>
      </c>
      <c r="F379" s="176">
        <v>2.7244936004982114E-4</v>
      </c>
      <c r="G379" s="176">
        <v>3.2475963717938676E-3</v>
      </c>
      <c r="H379" s="174">
        <v>0.19108454667744051</v>
      </c>
      <c r="I379" s="175">
        <v>0.1878410571255065</v>
      </c>
      <c r="J379" s="176">
        <v>2.5104408296702839E-4</v>
      </c>
      <c r="K379" s="175">
        <v>2.9924454689669784E-3</v>
      </c>
      <c r="L379" s="174">
        <v>0.18151006399419567</v>
      </c>
      <c r="M379" s="175">
        <v>0.17842909273632707</v>
      </c>
      <c r="N379" s="183">
        <v>2.3846526763688915E-4</v>
      </c>
      <c r="O379" s="184">
        <v>2.8425059902317186E-3</v>
      </c>
      <c r="P379"/>
      <c r="Q379" s="182"/>
      <c r="R379" s="182"/>
      <c r="S379" s="182"/>
      <c r="T379" s="165"/>
      <c r="U379" s="165"/>
      <c r="V379" s="1285"/>
      <c r="X379"/>
      <c r="Y379"/>
      <c r="Z379"/>
      <c r="AA379"/>
      <c r="AB379"/>
      <c r="AC379"/>
      <c r="AD379"/>
      <c r="AE379"/>
      <c r="AF379"/>
      <c r="AG379"/>
      <c r="AH379"/>
      <c r="AI379"/>
      <c r="AJ379"/>
      <c r="AK379"/>
      <c r="AL379"/>
      <c r="AM379"/>
    </row>
    <row r="380" spans="1:39" s="1278" customFormat="1">
      <c r="A380" s="1833"/>
      <c r="B380" s="173" t="s">
        <v>1639</v>
      </c>
      <c r="C380" s="173" t="s">
        <v>1637</v>
      </c>
      <c r="D380" s="174">
        <v>0.27606467058665257</v>
      </c>
      <c r="E380" s="175">
        <v>0.27137871931390306</v>
      </c>
      <c r="F380" s="176">
        <v>3.6268972699299426E-4</v>
      </c>
      <c r="G380" s="176">
        <v>4.3232615457564913E-3</v>
      </c>
      <c r="H380" s="174">
        <v>0.25437535274205714</v>
      </c>
      <c r="I380" s="175">
        <v>0.25005755827236026</v>
      </c>
      <c r="J380" s="176">
        <v>3.3419461839759215E-4</v>
      </c>
      <c r="K380" s="175">
        <v>3.9835998512992975E-3</v>
      </c>
      <c r="L380" s="174">
        <v>0.24162962080181635</v>
      </c>
      <c r="M380" s="175">
        <v>0.23752817375057245</v>
      </c>
      <c r="N380" s="183">
        <v>3.1744946217058113E-4</v>
      </c>
      <c r="O380" s="184">
        <v>3.7839975890733269E-3</v>
      </c>
      <c r="P380"/>
      <c r="Q380" s="182"/>
      <c r="R380" s="182"/>
      <c r="S380" s="182"/>
      <c r="T380" s="165"/>
      <c r="U380" s="165"/>
      <c r="V380" s="1285"/>
      <c r="X380"/>
      <c r="Y380"/>
      <c r="Z380"/>
      <c r="AA380"/>
      <c r="AB380"/>
      <c r="AC380"/>
      <c r="AD380"/>
      <c r="AE380"/>
      <c r="AF380"/>
      <c r="AG380"/>
      <c r="AH380"/>
      <c r="AI380"/>
      <c r="AJ380"/>
      <c r="AK380"/>
      <c r="AL380"/>
      <c r="AM380"/>
    </row>
    <row r="381" spans="1:39" s="1278" customFormat="1" ht="15" customHeight="1">
      <c r="A381" s="1833"/>
      <c r="B381" s="173" t="s">
        <v>1640</v>
      </c>
      <c r="C381" s="173" t="s">
        <v>1637</v>
      </c>
      <c r="D381" s="174">
        <v>0.29601224640896162</v>
      </c>
      <c r="E381" s="175">
        <v>0.29098770284870873</v>
      </c>
      <c r="F381" s="176">
        <v>3.888965603910927E-4</v>
      </c>
      <c r="G381" s="176">
        <v>4.6356469998618246E-3</v>
      </c>
      <c r="H381" s="174">
        <v>0.27275572580959212</v>
      </c>
      <c r="I381" s="175">
        <v>0.2681259409197288</v>
      </c>
      <c r="J381" s="176">
        <v>3.5834248373554798E-4</v>
      </c>
      <c r="K381" s="175">
        <v>4.2714424061277316E-3</v>
      </c>
      <c r="L381" s="174">
        <v>0.25908902685916274</v>
      </c>
      <c r="M381" s="175">
        <v>0.25469122198037786</v>
      </c>
      <c r="N381" s="183">
        <v>3.4038737451895295E-4</v>
      </c>
      <c r="O381" s="184">
        <v>4.0574175042659187E-3</v>
      </c>
      <c r="P381"/>
      <c r="Q381" s="182"/>
      <c r="R381" s="182"/>
      <c r="S381" s="182"/>
      <c r="T381" s="165"/>
      <c r="U381" s="165"/>
      <c r="V381" s="1285"/>
      <c r="X381"/>
      <c r="Y381"/>
      <c r="Z381"/>
      <c r="AA381"/>
      <c r="AB381"/>
      <c r="AC381"/>
      <c r="AD381"/>
      <c r="AE381"/>
      <c r="AF381"/>
      <c r="AG381"/>
      <c r="AH381"/>
      <c r="AI381"/>
      <c r="AJ381"/>
      <c r="AK381"/>
      <c r="AL381"/>
      <c r="AM381"/>
    </row>
    <row r="382" spans="1:39" s="1278" customFormat="1" ht="15" customHeight="1">
      <c r="A382" s="1833"/>
      <c r="B382" s="173" t="s">
        <v>1641</v>
      </c>
      <c r="C382" s="173" t="s">
        <v>1637</v>
      </c>
      <c r="D382" s="174">
        <v>0.29973750130428573</v>
      </c>
      <c r="E382" s="175">
        <v>0.29464972486863095</v>
      </c>
      <c r="F382" s="176">
        <v>3.9379074579371312E-4</v>
      </c>
      <c r="G382" s="176">
        <v>4.6939856898610601E-3</v>
      </c>
      <c r="H382" s="174">
        <v>0.27618830204630657</v>
      </c>
      <c r="I382" s="175">
        <v>0.27150025223992552</v>
      </c>
      <c r="J382" s="176">
        <v>3.6285215219667707E-4</v>
      </c>
      <c r="K382" s="175">
        <v>4.3251976541843901E-3</v>
      </c>
      <c r="L382" s="174">
        <v>0.26234961042400129</v>
      </c>
      <c r="M382" s="175">
        <v>0.25789646005072381</v>
      </c>
      <c r="N382" s="183">
        <v>3.4467108152302591E-4</v>
      </c>
      <c r="O382" s="184">
        <v>4.1084792917544686E-3</v>
      </c>
      <c r="P382"/>
      <c r="Q382" s="182"/>
      <c r="R382" s="182"/>
      <c r="S382" s="182"/>
      <c r="T382" s="165"/>
      <c r="U382" s="165"/>
      <c r="V382" s="1285"/>
      <c r="X382"/>
      <c r="Y382"/>
      <c r="Z382"/>
      <c r="AA382"/>
      <c r="AB382"/>
      <c r="AC382"/>
      <c r="AD382"/>
      <c r="AE382"/>
      <c r="AF382"/>
      <c r="AG382"/>
      <c r="AH382"/>
      <c r="AI382"/>
      <c r="AJ382"/>
      <c r="AK382"/>
      <c r="AL382"/>
      <c r="AM382"/>
    </row>
    <row r="383" spans="1:39" s="1278" customFormat="1" ht="15" customHeight="1">
      <c r="A383" s="1833" t="s">
        <v>1077</v>
      </c>
      <c r="B383" s="173" t="s">
        <v>1636</v>
      </c>
      <c r="C383" s="173" t="s">
        <v>1637</v>
      </c>
      <c r="D383" s="174">
        <v>0.16315485437883509</v>
      </c>
      <c r="E383" s="175">
        <v>0.15601037538205353</v>
      </c>
      <c r="F383" s="175">
        <v>1.836770075520343E-3</v>
      </c>
      <c r="G383" s="175">
        <v>5.3077089212612101E-3</v>
      </c>
      <c r="H383" s="174">
        <v>0.153730110216866</v>
      </c>
      <c r="I383" s="175">
        <v>0.14699833660339398</v>
      </c>
      <c r="J383" s="175">
        <v>1.7306678813070794E-3</v>
      </c>
      <c r="K383" s="175">
        <v>5.0011057321649429E-3</v>
      </c>
      <c r="L383" s="174">
        <v>0.1439105870354902</v>
      </c>
      <c r="M383" s="175">
        <v>0.1376088060041871</v>
      </c>
      <c r="N383" s="180">
        <v>1.6201213308897043E-3</v>
      </c>
      <c r="O383" s="181">
        <v>4.6816597004134004E-3</v>
      </c>
      <c r="P383"/>
      <c r="Q383" s="182"/>
      <c r="R383" s="182"/>
      <c r="S383" s="182"/>
      <c r="T383" s="165"/>
      <c r="U383" s="165"/>
      <c r="V383" s="1285"/>
      <c r="X383"/>
      <c r="Y383"/>
      <c r="Z383"/>
      <c r="AA383"/>
      <c r="AB383"/>
      <c r="AC383"/>
      <c r="AD383"/>
      <c r="AE383"/>
      <c r="AF383"/>
      <c r="AG383"/>
      <c r="AH383"/>
      <c r="AI383"/>
      <c r="AJ383"/>
      <c r="AK383"/>
      <c r="AL383"/>
      <c r="AM383"/>
    </row>
    <row r="384" spans="1:39" s="1278" customFormat="1" ht="15" customHeight="1">
      <c r="A384" s="1833"/>
      <c r="B384" s="173" t="s">
        <v>1638</v>
      </c>
      <c r="C384" s="173" t="s">
        <v>1637</v>
      </c>
      <c r="D384" s="174">
        <v>0.17518752488927414</v>
      </c>
      <c r="E384" s="175">
        <v>0.16751614056647995</v>
      </c>
      <c r="F384" s="175">
        <v>1.9722318685899678E-3</v>
      </c>
      <c r="G384" s="175">
        <v>5.6991524542042227E-3</v>
      </c>
      <c r="H384" s="174">
        <v>0.16506770584535985</v>
      </c>
      <c r="I384" s="175">
        <v>0.15783946392789425</v>
      </c>
      <c r="J384" s="175">
        <v>1.858304637553476E-3</v>
      </c>
      <c r="K384" s="175">
        <v>5.3699372799121056E-3</v>
      </c>
      <c r="L384" s="174">
        <v>0.15452399282935758</v>
      </c>
      <c r="M384" s="175">
        <v>0.14775745544699587</v>
      </c>
      <c r="N384" s="180">
        <v>1.7396052790428199E-3</v>
      </c>
      <c r="O384" s="181">
        <v>5.0269321033188886E-3</v>
      </c>
      <c r="P384"/>
      <c r="Q384" s="182"/>
      <c r="R384" s="182"/>
      <c r="S384" s="182"/>
      <c r="T384" s="165"/>
      <c r="U384" s="165"/>
      <c r="V384" s="1285"/>
      <c r="X384"/>
      <c r="Y384"/>
      <c r="Z384"/>
      <c r="AA384"/>
      <c r="AB384"/>
      <c r="AC384"/>
      <c r="AD384"/>
      <c r="AE384"/>
      <c r="AF384"/>
      <c r="AG384"/>
      <c r="AH384"/>
      <c r="AI384"/>
      <c r="AJ384"/>
      <c r="AK384"/>
      <c r="AL384"/>
      <c r="AM384"/>
    </row>
    <row r="385" spans="1:39" s="1278" customFormat="1" ht="15" customHeight="1">
      <c r="A385" s="1833"/>
      <c r="B385" s="173" t="s">
        <v>1639</v>
      </c>
      <c r="C385" s="173" t="s">
        <v>1637</v>
      </c>
      <c r="D385" s="174">
        <v>0.23637059528133703</v>
      </c>
      <c r="E385" s="175">
        <v>0.22602003133474977</v>
      </c>
      <c r="F385" s="175">
        <v>2.6610206469100933E-3</v>
      </c>
      <c r="G385" s="175">
        <v>7.6895432996771668E-3</v>
      </c>
      <c r="H385" s="174">
        <v>0.22271649717668435</v>
      </c>
      <c r="I385" s="175">
        <v>0.21296384015416678</v>
      </c>
      <c r="J385" s="175">
        <v>2.5073050930436284E-3</v>
      </c>
      <c r="K385" s="175">
        <v>7.2453519294739524E-3</v>
      </c>
      <c r="L385" s="174">
        <v>0.20849046296766649</v>
      </c>
      <c r="M385" s="175">
        <v>0.19936075769856609</v>
      </c>
      <c r="N385" s="180">
        <v>2.3471507781264596E-3</v>
      </c>
      <c r="O385" s="181">
        <v>6.7825544909739157E-3</v>
      </c>
      <c r="P385"/>
      <c r="Q385" s="182"/>
      <c r="R385" s="182"/>
      <c r="S385" s="182"/>
      <c r="T385" s="165"/>
      <c r="U385" s="165"/>
      <c r="V385" s="1285"/>
      <c r="X385"/>
      <c r="Y385"/>
      <c r="Z385"/>
      <c r="AA385"/>
      <c r="AB385"/>
      <c r="AC385"/>
      <c r="AD385"/>
      <c r="AE385"/>
      <c r="AF385"/>
      <c r="AG385"/>
      <c r="AH385"/>
      <c r="AI385"/>
      <c r="AJ385"/>
      <c r="AK385"/>
      <c r="AL385"/>
      <c r="AM385"/>
    </row>
    <row r="386" spans="1:39" s="1278" customFormat="1" ht="15" customHeight="1">
      <c r="A386" s="1833"/>
      <c r="B386" s="173" t="s">
        <v>1640</v>
      </c>
      <c r="C386" s="173" t="s">
        <v>1637</v>
      </c>
      <c r="D386" s="174">
        <v>0.2500348143355649</v>
      </c>
      <c r="E386" s="175">
        <v>0.23908590027299714</v>
      </c>
      <c r="F386" s="175">
        <v>2.8148501407349266E-3</v>
      </c>
      <c r="G386" s="175">
        <v>8.1340639218328067E-3</v>
      </c>
      <c r="H386" s="174">
        <v>0.23559139390734724</v>
      </c>
      <c r="I386" s="175">
        <v>0.22527495084470134</v>
      </c>
      <c r="J386" s="175">
        <v>2.6522485281031002E-3</v>
      </c>
      <c r="K386" s="175">
        <v>7.6641945345427773E-3</v>
      </c>
      <c r="L386" s="174">
        <v>0.22054297463188879</v>
      </c>
      <c r="M386" s="175">
        <v>0.21088549520141678</v>
      </c>
      <c r="N386" s="180">
        <v>2.4828359395884722E-3</v>
      </c>
      <c r="O386" s="181">
        <v>7.1746434908835383E-3</v>
      </c>
      <c r="P386"/>
      <c r="Q386" s="182"/>
      <c r="R386" s="182"/>
      <c r="S386" s="182"/>
      <c r="T386" s="165"/>
      <c r="U386" s="165"/>
      <c r="V386" s="1285"/>
      <c r="X386"/>
      <c r="Y386"/>
      <c r="Z386"/>
      <c r="AA386"/>
      <c r="AB386"/>
      <c r="AC386"/>
      <c r="AD386"/>
      <c r="AE386"/>
      <c r="AF386"/>
      <c r="AG386"/>
      <c r="AH386"/>
      <c r="AI386"/>
      <c r="AJ386"/>
      <c r="AK386"/>
      <c r="AL386"/>
      <c r="AM386"/>
    </row>
    <row r="387" spans="1:39" s="1278" customFormat="1" ht="15" customHeight="1">
      <c r="A387" s="1833"/>
      <c r="B387" s="173" t="s">
        <v>1641</v>
      </c>
      <c r="C387" s="173" t="s">
        <v>1637</v>
      </c>
      <c r="D387" s="174">
        <v>0.28552099516296076</v>
      </c>
      <c r="E387" s="175">
        <v>0.27301815691859305</v>
      </c>
      <c r="F387" s="175">
        <v>3.2143476321605923E-3</v>
      </c>
      <c r="G387" s="175">
        <v>9.288490612207094E-3</v>
      </c>
      <c r="H387" s="174">
        <v>0.269027692879515</v>
      </c>
      <c r="I387" s="175">
        <v>0.25724708905593902</v>
      </c>
      <c r="J387" s="175">
        <v>3.0286687922873833E-3</v>
      </c>
      <c r="K387" s="175">
        <v>8.7519350312886338E-3</v>
      </c>
      <c r="L387" s="174">
        <v>0.25184352731210791</v>
      </c>
      <c r="M387" s="175">
        <v>0.24081541050732747</v>
      </c>
      <c r="N387" s="180">
        <v>2.8352123290569832E-3</v>
      </c>
      <c r="O387" s="181">
        <v>8.1929044757234528E-3</v>
      </c>
      <c r="P387"/>
      <c r="Q387" s="182"/>
      <c r="R387" s="182"/>
      <c r="S387" s="182"/>
      <c r="T387" s="165"/>
      <c r="U387" s="165"/>
      <c r="V387" s="1285"/>
      <c r="X387"/>
      <c r="Y387"/>
      <c r="Z387"/>
      <c r="AA387"/>
      <c r="AB387"/>
      <c r="AC387"/>
      <c r="AD387"/>
      <c r="AE387"/>
      <c r="AF387"/>
      <c r="AG387"/>
      <c r="AH387"/>
      <c r="AI387"/>
      <c r="AJ387"/>
      <c r="AK387"/>
      <c r="AL387"/>
      <c r="AM387"/>
    </row>
    <row r="388" spans="1:39" s="1278" customFormat="1" ht="15" customHeight="1">
      <c r="A388" s="1833" t="s">
        <v>1643</v>
      </c>
      <c r="B388" s="173" t="s">
        <v>1636</v>
      </c>
      <c r="C388" s="173" t="s">
        <v>1637</v>
      </c>
      <c r="D388" s="174">
        <v>0.1931791937309929</v>
      </c>
      <c r="E388" s="175">
        <v>0.18990014941572864</v>
      </c>
      <c r="F388" s="176">
        <v>2.5379599963345725E-4</v>
      </c>
      <c r="G388" s="175">
        <v>3.02524831563081E-3</v>
      </c>
      <c r="H388" s="174">
        <v>0.17807109537691646</v>
      </c>
      <c r="I388" s="175">
        <v>0.17504849754051768</v>
      </c>
      <c r="J388" s="176">
        <v>2.3394720095965758E-4</v>
      </c>
      <c r="K388" s="175">
        <v>2.7886506354391181E-3</v>
      </c>
      <c r="L388" s="174">
        <v>0.16963692117299406</v>
      </c>
      <c r="M388" s="175">
        <v>0.16675748591245648</v>
      </c>
      <c r="N388" s="180">
        <v>2.2286650623355787E-4</v>
      </c>
      <c r="O388" s="181">
        <v>2.6565687543040097E-3</v>
      </c>
      <c r="P388"/>
      <c r="Q388" s="182"/>
      <c r="R388" s="182"/>
      <c r="S388" s="182"/>
      <c r="T388" s="165"/>
      <c r="U388" s="165"/>
      <c r="V388" s="1285"/>
      <c r="X388"/>
      <c r="Y388"/>
      <c r="Z388"/>
      <c r="AA388"/>
      <c r="AB388"/>
      <c r="AC388"/>
      <c r="AD388"/>
      <c r="AE388"/>
      <c r="AF388"/>
      <c r="AG388"/>
      <c r="AH388"/>
      <c r="AI388"/>
      <c r="AJ388"/>
      <c r="AK388"/>
      <c r="AL388"/>
      <c r="AM388"/>
    </row>
    <row r="389" spans="1:39" s="1278" customFormat="1" ht="15" customHeight="1">
      <c r="A389" s="1833"/>
      <c r="B389" s="173" t="s">
        <v>1638</v>
      </c>
      <c r="C389" s="173" t="s">
        <v>1637</v>
      </c>
      <c r="D389" s="174">
        <v>0.18589900231349341</v>
      </c>
      <c r="E389" s="175">
        <v>0.18274353274673352</v>
      </c>
      <c r="F389" s="176">
        <v>2.442313906160899E-4</v>
      </c>
      <c r="G389" s="175">
        <v>2.9112381761437918E-3</v>
      </c>
      <c r="H389" s="174">
        <v>0.17136027090752237</v>
      </c>
      <c r="I389" s="175">
        <v>0.16845158332409704</v>
      </c>
      <c r="J389" s="176">
        <v>2.2513061791217751E-4</v>
      </c>
      <c r="K389" s="175">
        <v>2.6835569655131557E-3</v>
      </c>
      <c r="L389" s="174">
        <v>0.16324394875312523</v>
      </c>
      <c r="M389" s="175">
        <v>0.16047302849084469</v>
      </c>
      <c r="N389" s="180">
        <v>2.1446751256041355E-4</v>
      </c>
      <c r="O389" s="181">
        <v>2.5564527497201292E-3</v>
      </c>
      <c r="P389"/>
      <c r="Q389" s="182"/>
      <c r="R389" s="182"/>
      <c r="S389" s="182"/>
      <c r="T389" s="165"/>
      <c r="U389" s="165"/>
      <c r="V389" s="1285"/>
      <c r="X389"/>
      <c r="Y389"/>
      <c r="Z389"/>
      <c r="AA389"/>
      <c r="AB389"/>
      <c r="AC389"/>
      <c r="AD389"/>
      <c r="AE389"/>
      <c r="AF389"/>
      <c r="AG389"/>
      <c r="AH389"/>
      <c r="AI389"/>
      <c r="AJ389"/>
      <c r="AK389"/>
      <c r="AL389"/>
      <c r="AM389"/>
    </row>
    <row r="390" spans="1:39" s="1278" customFormat="1" ht="15" customHeight="1">
      <c r="A390" s="1833"/>
      <c r="B390" s="173" t="s">
        <v>1639</v>
      </c>
      <c r="C390" s="173" t="s">
        <v>1637</v>
      </c>
      <c r="D390" s="174">
        <v>0.24747225827589273</v>
      </c>
      <c r="E390" s="175">
        <v>0.243271637670678</v>
      </c>
      <c r="F390" s="176">
        <v>3.2512543384014919E-4</v>
      </c>
      <c r="G390" s="175">
        <v>3.8754951713745782E-3</v>
      </c>
      <c r="H390" s="174">
        <v>0.22811802480112203</v>
      </c>
      <c r="I390" s="175">
        <v>0.22424592502688312</v>
      </c>
      <c r="J390" s="176">
        <v>2.9969812494109213E-4</v>
      </c>
      <c r="K390" s="175">
        <v>3.5724016492978184E-3</v>
      </c>
      <c r="L390" s="174">
        <v>0.21731342366046516</v>
      </c>
      <c r="M390" s="175">
        <v>0.21362472234267857</v>
      </c>
      <c r="N390" s="180">
        <v>2.8550319797109795E-4</v>
      </c>
      <c r="O390" s="181">
        <v>3.4031981198154875E-3</v>
      </c>
      <c r="P390"/>
      <c r="Q390" s="182"/>
      <c r="R390" s="182"/>
      <c r="S390" s="182"/>
      <c r="T390" s="165"/>
      <c r="U390" s="165"/>
      <c r="V390" s="1285"/>
      <c r="X390"/>
      <c r="Y390"/>
      <c r="Z390"/>
      <c r="AA390"/>
      <c r="AB390"/>
      <c r="AC390"/>
      <c r="AD390"/>
      <c r="AE390"/>
      <c r="AF390"/>
      <c r="AG390"/>
      <c r="AH390"/>
      <c r="AI390"/>
      <c r="AJ390"/>
      <c r="AK390"/>
      <c r="AL390"/>
      <c r="AM390"/>
    </row>
    <row r="391" spans="1:39" s="1278" customFormat="1" ht="15" customHeight="1">
      <c r="A391" s="1833"/>
      <c r="B391" s="173" t="s">
        <v>1640</v>
      </c>
      <c r="C391" s="173" t="s">
        <v>1637</v>
      </c>
      <c r="D391" s="174">
        <v>0.26535383517374728</v>
      </c>
      <c r="E391" s="175">
        <v>0.26084969076794917</v>
      </c>
      <c r="F391" s="176">
        <v>3.4861798806487185E-4</v>
      </c>
      <c r="G391" s="175">
        <v>4.1555264177332721E-3</v>
      </c>
      <c r="H391" s="174">
        <v>0.24460112488953839</v>
      </c>
      <c r="I391" s="175">
        <v>0.24044923920979394</v>
      </c>
      <c r="J391" s="176">
        <v>3.2135338078517322E-4</v>
      </c>
      <c r="K391" s="175">
        <v>3.8305322989592647E-3</v>
      </c>
      <c r="L391" s="174">
        <v>0.23301581682240358</v>
      </c>
      <c r="M391" s="175">
        <v>0.2290605814020604</v>
      </c>
      <c r="N391" s="180">
        <v>3.0613277247238318E-4</v>
      </c>
      <c r="O391" s="181">
        <v>3.6491026478708069E-3</v>
      </c>
      <c r="P391"/>
      <c r="Q391" s="182"/>
      <c r="R391" s="182"/>
      <c r="S391" s="182"/>
      <c r="T391" s="165"/>
      <c r="U391" s="165"/>
      <c r="V391" s="1285"/>
      <c r="X391"/>
      <c r="Y391"/>
      <c r="Z391"/>
      <c r="AA391"/>
      <c r="AB391"/>
      <c r="AC391"/>
      <c r="AD391"/>
      <c r="AE391"/>
      <c r="AF391"/>
      <c r="AG391"/>
      <c r="AH391"/>
      <c r="AI391"/>
      <c r="AJ391"/>
      <c r="AK391"/>
      <c r="AL391"/>
      <c r="AM391"/>
    </row>
    <row r="392" spans="1:39" s="1278" customFormat="1" ht="15" customHeight="1">
      <c r="A392" s="1833"/>
      <c r="B392" s="173" t="s">
        <v>1641</v>
      </c>
      <c r="C392" s="173" t="s">
        <v>1637</v>
      </c>
      <c r="D392" s="174">
        <v>0.26869326009777056</v>
      </c>
      <c r="E392" s="175">
        <v>0.2641324319358086</v>
      </c>
      <c r="F392" s="176">
        <v>3.5300527569365013E-4</v>
      </c>
      <c r="G392" s="175">
        <v>4.2078228862683096E-3</v>
      </c>
      <c r="H392" s="174">
        <v>0.24767938110680926</v>
      </c>
      <c r="I392" s="175">
        <v>0.24347524477648894</v>
      </c>
      <c r="J392" s="176">
        <v>3.2539754878640255E-4</v>
      </c>
      <c r="K392" s="175">
        <v>3.8787387815339184E-3</v>
      </c>
      <c r="L392" s="174">
        <v>0.23594827425562231</v>
      </c>
      <c r="M392" s="175">
        <v>0.2319432629888723</v>
      </c>
      <c r="N392" s="180">
        <v>3.0998539216331471E-4</v>
      </c>
      <c r="O392" s="181">
        <v>3.6950258745867114E-3</v>
      </c>
      <c r="P392"/>
      <c r="Q392" s="182"/>
      <c r="R392" s="182"/>
      <c r="S392" s="182"/>
      <c r="T392" s="165"/>
      <c r="U392" s="165"/>
      <c r="V392" s="1285"/>
      <c r="X392"/>
      <c r="Y392"/>
      <c r="Z392"/>
      <c r="AA392"/>
      <c r="AB392"/>
      <c r="AC392"/>
      <c r="AD392"/>
      <c r="AE392"/>
      <c r="AF392"/>
      <c r="AG392"/>
      <c r="AH392"/>
      <c r="AI392"/>
      <c r="AJ392"/>
      <c r="AK392"/>
      <c r="AL392"/>
      <c r="AM392"/>
    </row>
    <row r="393" spans="1:39" s="1278" customFormat="1" ht="15" customHeight="1">
      <c r="A393" s="1833" t="s">
        <v>1644</v>
      </c>
      <c r="B393" s="173" t="s">
        <v>1636</v>
      </c>
      <c r="C393" s="173" t="s">
        <v>1637</v>
      </c>
      <c r="D393" s="185"/>
      <c r="E393" s="186"/>
      <c r="F393" s="186"/>
      <c r="G393" s="187"/>
      <c r="H393" s="174">
        <v>8.0452091013493085E-2</v>
      </c>
      <c r="I393" s="175">
        <v>7.6929129489109391E-2</v>
      </c>
      <c r="J393" s="175">
        <v>9.0571619121737016E-4</v>
      </c>
      <c r="K393" s="175">
        <v>2.617245333166316E-3</v>
      </c>
      <c r="L393" s="174">
        <v>7.5313207215239847E-2</v>
      </c>
      <c r="M393" s="175">
        <v>7.2015275142191221E-2</v>
      </c>
      <c r="N393" s="180">
        <v>8.4786349649894495E-4</v>
      </c>
      <c r="O393" s="181">
        <v>2.4500685765496788E-3</v>
      </c>
      <c r="P393"/>
      <c r="Q393"/>
      <c r="R393" s="182"/>
      <c r="S393" s="182"/>
      <c r="T393" s="165"/>
      <c r="U393" s="165"/>
      <c r="V393" s="1285"/>
      <c r="X393"/>
      <c r="Y393"/>
      <c r="Z393"/>
      <c r="AA393"/>
      <c r="AB393"/>
      <c r="AC393"/>
      <c r="AD393"/>
      <c r="AE393"/>
      <c r="AF393"/>
      <c r="AG393"/>
      <c r="AH393"/>
      <c r="AI393"/>
      <c r="AJ393"/>
      <c r="AK393"/>
      <c r="AL393"/>
      <c r="AM393"/>
    </row>
    <row r="394" spans="1:39" s="1278" customFormat="1" ht="15" customHeight="1">
      <c r="A394" s="1833"/>
      <c r="B394" s="173" t="s">
        <v>1638</v>
      </c>
      <c r="C394" s="173" t="s">
        <v>1637</v>
      </c>
      <c r="D394" s="188"/>
      <c r="E394" s="189"/>
      <c r="F394" s="189"/>
      <c r="G394" s="190"/>
      <c r="H394" s="174">
        <v>8.6385432725738273E-2</v>
      </c>
      <c r="I394" s="175">
        <v>8.2602652788931294E-2</v>
      </c>
      <c r="J394" s="175">
        <v>9.725127603196521E-4</v>
      </c>
      <c r="K394" s="175">
        <v>2.8102671764873347E-3</v>
      </c>
      <c r="L394" s="174">
        <v>8.0867556247363803E-2</v>
      </c>
      <c r="M394" s="175">
        <v>7.7326401683927834E-2</v>
      </c>
      <c r="N394" s="180">
        <v>9.1039342936574219E-4</v>
      </c>
      <c r="O394" s="181">
        <v>2.6307611340702177E-3</v>
      </c>
      <c r="P394"/>
      <c r="Q394"/>
      <c r="R394" s="182"/>
      <c r="S394" s="182"/>
      <c r="T394" s="165"/>
      <c r="U394" s="165"/>
      <c r="V394" s="1285"/>
      <c r="X394"/>
      <c r="Y394"/>
      <c r="Z394"/>
      <c r="AA394"/>
      <c r="AB394"/>
      <c r="AC394"/>
      <c r="AD394"/>
      <c r="AE394"/>
      <c r="AF394"/>
      <c r="AG394"/>
      <c r="AH394"/>
      <c r="AI394"/>
      <c r="AJ394"/>
      <c r="AK394"/>
      <c r="AL394"/>
      <c r="AM394"/>
    </row>
    <row r="395" spans="1:39" s="1278" customFormat="1" ht="15" customHeight="1">
      <c r="A395" s="1833"/>
      <c r="B395" s="173" t="s">
        <v>1639</v>
      </c>
      <c r="C395" s="173" t="s">
        <v>1637</v>
      </c>
      <c r="D395" s="188"/>
      <c r="E395" s="189"/>
      <c r="F395" s="189"/>
      <c r="G395" s="190"/>
      <c r="H395" s="174">
        <v>0.11655496685579812</v>
      </c>
      <c r="I395" s="175">
        <v>0.11145107634734726</v>
      </c>
      <c r="J395" s="175">
        <v>1.3121563320261651E-3</v>
      </c>
      <c r="K395" s="175">
        <v>3.791734176424701E-3</v>
      </c>
      <c r="L395" s="174">
        <v>0.10911000895307874</v>
      </c>
      <c r="M395" s="175">
        <v>0.10433212986224955</v>
      </c>
      <c r="N395" s="180">
        <v>1.2283422405528466E-3</v>
      </c>
      <c r="O395" s="181">
        <v>3.5495368502763479E-3</v>
      </c>
      <c r="P395"/>
      <c r="Q395"/>
      <c r="R395" s="182"/>
      <c r="S395" s="182"/>
      <c r="T395" s="165"/>
      <c r="U395" s="165"/>
      <c r="V395" s="1285"/>
      <c r="X395"/>
      <c r="Y395"/>
      <c r="Z395"/>
      <c r="AA395"/>
      <c r="AB395"/>
      <c r="AC395"/>
      <c r="AD395"/>
      <c r="AE395"/>
      <c r="AF395"/>
      <c r="AG395"/>
      <c r="AH395"/>
      <c r="AI395"/>
      <c r="AJ395"/>
      <c r="AK395"/>
      <c r="AL395"/>
      <c r="AM395"/>
    </row>
    <row r="396" spans="1:39" s="1278" customFormat="1" ht="15" customHeight="1">
      <c r="A396" s="1833"/>
      <c r="B396" s="173" t="s">
        <v>1640</v>
      </c>
      <c r="C396" s="173" t="s">
        <v>1637</v>
      </c>
      <c r="D396" s="188"/>
      <c r="E396" s="189"/>
      <c r="F396" s="189"/>
      <c r="G396" s="190"/>
      <c r="H396" s="174">
        <v>0.12329282947817809</v>
      </c>
      <c r="I396" s="175">
        <v>0.11789389094206008</v>
      </c>
      <c r="J396" s="175">
        <v>1.3880100630406188E-3</v>
      </c>
      <c r="K396" s="175">
        <v>4.0109284730773772E-3</v>
      </c>
      <c r="L396" s="174">
        <v>0.11541749005735506</v>
      </c>
      <c r="M396" s="175">
        <v>0.11036340915540806</v>
      </c>
      <c r="N396" s="180">
        <v>1.2993508083846332E-3</v>
      </c>
      <c r="O396" s="181">
        <v>3.7547300935623831E-3</v>
      </c>
      <c r="P396"/>
      <c r="Q396"/>
      <c r="R396" s="182"/>
      <c r="S396" s="182"/>
      <c r="T396" s="165"/>
      <c r="U396" s="165"/>
      <c r="V396" s="1285"/>
      <c r="X396"/>
      <c r="Y396"/>
      <c r="Z396"/>
      <c r="AA396"/>
      <c r="AB396"/>
      <c r="AC396"/>
      <c r="AD396"/>
      <c r="AE396"/>
      <c r="AF396"/>
      <c r="AG396"/>
      <c r="AH396"/>
      <c r="AI396"/>
      <c r="AJ396"/>
      <c r="AK396"/>
      <c r="AL396"/>
      <c r="AM396"/>
    </row>
    <row r="397" spans="1:39" s="1278" customFormat="1" ht="15" customHeight="1">
      <c r="A397" s="1833"/>
      <c r="B397" s="173" t="s">
        <v>1641</v>
      </c>
      <c r="C397" s="173" t="s">
        <v>1637</v>
      </c>
      <c r="D397" s="188"/>
      <c r="E397" s="189"/>
      <c r="F397" s="189"/>
      <c r="G397" s="190"/>
      <c r="H397" s="174">
        <v>0.14079115927361294</v>
      </c>
      <c r="I397" s="175">
        <v>0.13462597660594147</v>
      </c>
      <c r="J397" s="175">
        <v>1.585003334630398E-3</v>
      </c>
      <c r="K397" s="175">
        <v>4.5801793330410541E-3</v>
      </c>
      <c r="L397" s="174">
        <v>0.13179811262666977</v>
      </c>
      <c r="M397" s="175">
        <v>0.12602673149883467</v>
      </c>
      <c r="N397" s="180">
        <v>1.4837611188731538E-3</v>
      </c>
      <c r="O397" s="181">
        <v>4.2876200089619386E-3</v>
      </c>
      <c r="P397"/>
      <c r="Q397"/>
      <c r="R397" s="182"/>
      <c r="S397" s="182"/>
      <c r="T397" s="165"/>
      <c r="U397" s="165"/>
      <c r="V397" s="1285"/>
      <c r="X397"/>
      <c r="Y397"/>
      <c r="Z397"/>
      <c r="AA397"/>
      <c r="AB397"/>
      <c r="AC397"/>
      <c r="AD397"/>
      <c r="AE397"/>
      <c r="AF397"/>
      <c r="AG397"/>
      <c r="AH397"/>
      <c r="AI397"/>
      <c r="AJ397"/>
      <c r="AK397"/>
      <c r="AL397"/>
      <c r="AM397"/>
    </row>
    <row r="398" spans="1:39" s="1278" customFormat="1" ht="15" customHeight="1">
      <c r="A398" s="1833" t="s">
        <v>1645</v>
      </c>
      <c r="B398" s="173" t="s">
        <v>1636</v>
      </c>
      <c r="C398" s="173" t="s">
        <v>1637</v>
      </c>
      <c r="D398" s="188"/>
      <c r="E398" s="189"/>
      <c r="F398" s="189"/>
      <c r="G398" s="190"/>
      <c r="H398" s="174">
        <v>1.0229673272060924E-2</v>
      </c>
      <c r="I398" s="175">
        <v>9.824573636693262E-3</v>
      </c>
      <c r="J398" s="175">
        <v>3.9106258064998227E-4</v>
      </c>
      <c r="K398" s="191">
        <v>1.4037054717680188E-5</v>
      </c>
      <c r="L398" s="174">
        <v>9.9000728954892498E-3</v>
      </c>
      <c r="M398" s="175">
        <v>9.5080255824016059E-3</v>
      </c>
      <c r="N398" s="183">
        <v>3.7846253268976457E-4</v>
      </c>
      <c r="O398" s="192">
        <v>1.3584780397879506E-5</v>
      </c>
      <c r="P398"/>
      <c r="Q398"/>
      <c r="R398" s="182"/>
      <c r="S398" s="182"/>
      <c r="T398" s="165"/>
      <c r="U398" s="165"/>
      <c r="V398" s="1285"/>
      <c r="X398"/>
      <c r="Y398"/>
      <c r="Z398"/>
      <c r="AA398"/>
      <c r="AB398"/>
      <c r="AC398"/>
      <c r="AD398"/>
      <c r="AE398"/>
      <c r="AF398"/>
      <c r="AG398"/>
      <c r="AH398"/>
      <c r="AI398"/>
      <c r="AJ398"/>
      <c r="AK398"/>
      <c r="AL398"/>
      <c r="AM398"/>
    </row>
    <row r="399" spans="1:39" s="1278" customFormat="1" ht="15" customHeight="1">
      <c r="A399" s="1833"/>
      <c r="B399" s="173" t="s">
        <v>1638</v>
      </c>
      <c r="C399" s="173" t="s">
        <v>1637</v>
      </c>
      <c r="D399" s="188"/>
      <c r="E399" s="189"/>
      <c r="F399" s="189"/>
      <c r="G399" s="190"/>
      <c r="H399" s="174">
        <v>1.0984111675875404E-2</v>
      </c>
      <c r="I399" s="175">
        <v>1.0549135942399377E-2</v>
      </c>
      <c r="J399" s="175">
        <v>4.1990344597291795E-4</v>
      </c>
      <c r="K399" s="191">
        <v>1.5072287503109084E-5</v>
      </c>
      <c r="L399" s="174">
        <v>1.0630203271531587E-2</v>
      </c>
      <c r="M399" s="175">
        <v>1.0209242469103728E-2</v>
      </c>
      <c r="N399" s="183">
        <v>4.0637414447563483E-4</v>
      </c>
      <c r="O399" s="192">
        <v>1.4586657952223124E-5</v>
      </c>
      <c r="P399"/>
      <c r="Q399"/>
      <c r="R399" s="182"/>
      <c r="S399" s="182"/>
      <c r="T399" s="165"/>
      <c r="U399" s="165"/>
      <c r="V399" s="1285"/>
      <c r="X399"/>
      <c r="Y399"/>
      <c r="Z399"/>
      <c r="AA399"/>
      <c r="AB399"/>
      <c r="AC399"/>
      <c r="AD399"/>
      <c r="AE399"/>
      <c r="AF399"/>
      <c r="AG399"/>
      <c r="AH399"/>
      <c r="AI399"/>
      <c r="AJ399"/>
      <c r="AK399"/>
      <c r="AL399"/>
      <c r="AM399"/>
    </row>
    <row r="400" spans="1:39" s="1278" customFormat="1" ht="15" customHeight="1">
      <c r="A400" s="1833"/>
      <c r="B400" s="173" t="s">
        <v>1639</v>
      </c>
      <c r="C400" s="173" t="s">
        <v>1637</v>
      </c>
      <c r="D400" s="188"/>
      <c r="E400" s="189"/>
      <c r="F400" s="189"/>
      <c r="G400" s="190"/>
      <c r="H400" s="174">
        <v>1.2427230352705217E-2</v>
      </c>
      <c r="I400" s="175">
        <v>1.1935106474393255E-2</v>
      </c>
      <c r="J400" s="175">
        <v>4.7507135788332023E-4</v>
      </c>
      <c r="K400" s="191">
        <v>1.705252042864075E-5</v>
      </c>
      <c r="L400" s="174">
        <v>1.2026824621743953E-2</v>
      </c>
      <c r="M400" s="175">
        <v>1.1550556989403655E-2</v>
      </c>
      <c r="N400" s="183">
        <v>4.5976454462620366E-4</v>
      </c>
      <c r="O400" s="192">
        <v>1.6503087714095838E-5</v>
      </c>
      <c r="P400"/>
      <c r="Q400"/>
      <c r="R400" s="182"/>
      <c r="S400" s="182"/>
      <c r="T400" s="165"/>
      <c r="U400" s="165"/>
      <c r="V400" s="1285"/>
      <c r="X400"/>
      <c r="Y400"/>
      <c r="Z400"/>
      <c r="AA400"/>
      <c r="AB400"/>
      <c r="AC400"/>
      <c r="AD400"/>
      <c r="AE400"/>
      <c r="AF400"/>
      <c r="AG400"/>
      <c r="AH400"/>
      <c r="AI400"/>
      <c r="AJ400"/>
      <c r="AK400"/>
      <c r="AL400"/>
      <c r="AM400"/>
    </row>
    <row r="401" spans="1:39" s="1278" customFormat="1" ht="15" customHeight="1">
      <c r="A401" s="1833"/>
      <c r="B401" s="173" t="s">
        <v>1640</v>
      </c>
      <c r="C401" s="173" t="s">
        <v>1637</v>
      </c>
      <c r="D401" s="188"/>
      <c r="E401" s="189"/>
      <c r="F401" s="189"/>
      <c r="G401" s="190"/>
      <c r="H401" s="174">
        <v>1.5305748835024793E-2</v>
      </c>
      <c r="I401" s="175">
        <v>1.4699634337797219E-2</v>
      </c>
      <c r="J401" s="175">
        <v>5.8511210270544489E-4</v>
      </c>
      <c r="K401" s="191">
        <v>2.1002394522130076E-5</v>
      </c>
      <c r="L401" s="174">
        <v>1.4812597153092435E-2</v>
      </c>
      <c r="M401" s="175">
        <v>1.4226011682962662E-2</v>
      </c>
      <c r="N401" s="183">
        <v>5.6625977338276121E-4</v>
      </c>
      <c r="O401" s="192">
        <v>2.0325696747010821E-5</v>
      </c>
      <c r="P401"/>
      <c r="Q401"/>
      <c r="R401" s="182"/>
      <c r="S401" s="182"/>
      <c r="T401" s="165"/>
      <c r="U401" s="165"/>
      <c r="V401" s="1285"/>
      <c r="X401"/>
      <c r="Y401"/>
      <c r="Z401"/>
      <c r="AA401"/>
      <c r="AB401"/>
      <c r="AC401"/>
      <c r="AD401"/>
      <c r="AE401"/>
      <c r="AF401"/>
      <c r="AG401"/>
      <c r="AH401"/>
      <c r="AI401"/>
      <c r="AJ401"/>
      <c r="AK401"/>
      <c r="AL401"/>
      <c r="AM401"/>
    </row>
    <row r="402" spans="1:39" s="1278" customFormat="1" ht="15" customHeight="1">
      <c r="A402" s="1833"/>
      <c r="B402" s="173" t="s">
        <v>1641</v>
      </c>
      <c r="C402" s="173" t="s">
        <v>1637</v>
      </c>
      <c r="D402" s="188"/>
      <c r="E402" s="189"/>
      <c r="F402" s="189"/>
      <c r="G402" s="190"/>
      <c r="H402" s="174">
        <v>1.7891477766790769E-2</v>
      </c>
      <c r="I402" s="175">
        <v>1.7182967247758776E-2</v>
      </c>
      <c r="J402" s="175">
        <v>6.8396001329115665E-4</v>
      </c>
      <c r="K402" s="191">
        <v>2.4550505740835241E-5</v>
      </c>
      <c r="L402" s="174">
        <v>1.7315013821899806E-2</v>
      </c>
      <c r="M402" s="175">
        <v>1.6629331532828563E-2</v>
      </c>
      <c r="N402" s="183">
        <v>6.619228013543465E-4</v>
      </c>
      <c r="O402" s="192">
        <v>2.3759487716896536E-5</v>
      </c>
      <c r="P402"/>
      <c r="Q402"/>
      <c r="R402" s="182"/>
      <c r="S402" s="182"/>
      <c r="T402" s="165"/>
      <c r="U402" s="165"/>
      <c r="V402" s="1285"/>
      <c r="X402"/>
      <c r="Y402"/>
      <c r="Z402"/>
      <c r="AA402"/>
      <c r="AB402"/>
      <c r="AC402"/>
      <c r="AD402"/>
      <c r="AE402"/>
      <c r="AF402"/>
      <c r="AG402"/>
      <c r="AH402"/>
      <c r="AI402"/>
      <c r="AJ402"/>
      <c r="AK402"/>
      <c r="AL402"/>
      <c r="AM402"/>
    </row>
    <row r="403" spans="1:39" s="1278" customFormat="1" ht="15" customHeight="1">
      <c r="A403" s="1833" t="s">
        <v>1646</v>
      </c>
      <c r="B403" s="173" t="s">
        <v>1636</v>
      </c>
      <c r="C403" s="173" t="s">
        <v>1637</v>
      </c>
      <c r="D403" s="188"/>
      <c r="E403" s="189"/>
      <c r="F403" s="189"/>
      <c r="G403" s="190"/>
      <c r="H403" s="174">
        <v>9.3190539913919651E-2</v>
      </c>
      <c r="I403" s="175">
        <v>9.1608713712870965E-2</v>
      </c>
      <c r="J403" s="176">
        <v>1.2243236850222085E-4</v>
      </c>
      <c r="K403" s="176">
        <v>1.4593938325464725E-3</v>
      </c>
      <c r="L403" s="174">
        <v>8.8776655413866881E-2</v>
      </c>
      <c r="M403" s="175">
        <v>8.7269750960852224E-2</v>
      </c>
      <c r="N403" s="183">
        <v>1.1663347159556195E-4</v>
      </c>
      <c r="O403" s="181">
        <v>1.3902709814190984E-3</v>
      </c>
      <c r="P403"/>
      <c r="Q403"/>
      <c r="R403" s="182"/>
      <c r="S403" s="182"/>
      <c r="T403" s="165"/>
      <c r="U403" s="165"/>
      <c r="V403" s="1285"/>
      <c r="X403"/>
      <c r="Y403"/>
      <c r="Z403"/>
      <c r="AA403"/>
      <c r="AB403"/>
      <c r="AC403"/>
      <c r="AD403"/>
      <c r="AE403"/>
      <c r="AF403"/>
      <c r="AG403"/>
      <c r="AH403"/>
      <c r="AI403"/>
      <c r="AJ403"/>
      <c r="AK403"/>
      <c r="AL403"/>
      <c r="AM403"/>
    </row>
    <row r="404" spans="1:39" s="1278" customFormat="1" ht="15" customHeight="1">
      <c r="A404" s="1833"/>
      <c r="B404" s="173" t="s">
        <v>1638</v>
      </c>
      <c r="C404" s="173" t="s">
        <v>1637</v>
      </c>
      <c r="D404" s="188"/>
      <c r="E404" s="189"/>
      <c r="F404" s="189"/>
      <c r="G404" s="190"/>
      <c r="H404" s="174">
        <v>8.9678541774936574E-2</v>
      </c>
      <c r="I404" s="175">
        <v>8.8156328606277312E-2</v>
      </c>
      <c r="J404" s="176">
        <v>1.1781835670737271E-4</v>
      </c>
      <c r="K404" s="176">
        <v>1.4043948119518827E-3</v>
      </c>
      <c r="L404" s="174">
        <v>8.5430999847468866E-2</v>
      </c>
      <c r="M404" s="175">
        <v>8.398088491020872E-2</v>
      </c>
      <c r="N404" s="183">
        <v>1.1223799823994976E-4</v>
      </c>
      <c r="O404" s="181">
        <v>1.337876939020201E-3</v>
      </c>
      <c r="P404"/>
      <c r="Q404"/>
      <c r="R404" s="182"/>
      <c r="S404" s="182"/>
      <c r="T404" s="165"/>
      <c r="U404" s="165"/>
      <c r="V404" s="1285"/>
      <c r="X404"/>
      <c r="Y404"/>
      <c r="Z404"/>
      <c r="AA404"/>
      <c r="AB404"/>
      <c r="AC404"/>
      <c r="AD404"/>
      <c r="AE404"/>
      <c r="AF404"/>
      <c r="AG404"/>
      <c r="AH404"/>
      <c r="AI404"/>
      <c r="AJ404"/>
      <c r="AK404"/>
      <c r="AL404"/>
      <c r="AM404"/>
    </row>
    <row r="405" spans="1:39" s="1278" customFormat="1" ht="15" customHeight="1">
      <c r="A405" s="1833"/>
      <c r="B405" s="173" t="s">
        <v>1639</v>
      </c>
      <c r="C405" s="173" t="s">
        <v>1637</v>
      </c>
      <c r="D405" s="188"/>
      <c r="E405" s="189"/>
      <c r="F405" s="189"/>
      <c r="G405" s="190"/>
      <c r="H405" s="174">
        <v>0.11938176631258693</v>
      </c>
      <c r="I405" s="175">
        <v>0.11735536743073524</v>
      </c>
      <c r="J405" s="176">
        <v>1.5684201871917121E-4</v>
      </c>
      <c r="K405" s="176">
        <v>1.8695568631325206E-3</v>
      </c>
      <c r="L405" s="174">
        <v>0.11372735838231014</v>
      </c>
      <c r="M405" s="175">
        <v>0.11179693802600182</v>
      </c>
      <c r="N405" s="183">
        <v>1.4941334027154129E-4</v>
      </c>
      <c r="O405" s="181">
        <v>1.7810070160367722E-3</v>
      </c>
      <c r="P405"/>
      <c r="Q405"/>
      <c r="R405" s="182"/>
      <c r="S405" s="182"/>
      <c r="T405" s="165"/>
      <c r="U405" s="165"/>
      <c r="V405" s="1285"/>
      <c r="X405"/>
      <c r="Y405"/>
      <c r="Z405"/>
      <c r="AA405"/>
      <c r="AB405"/>
      <c r="AC405"/>
      <c r="AD405"/>
      <c r="AE405"/>
      <c r="AF405"/>
      <c r="AG405"/>
      <c r="AH405"/>
      <c r="AI405"/>
      <c r="AJ405"/>
      <c r="AK405"/>
      <c r="AL405"/>
      <c r="AM405"/>
    </row>
    <row r="406" spans="1:39" s="1278" customFormat="1" ht="15" customHeight="1">
      <c r="A406" s="1833"/>
      <c r="B406" s="173" t="s">
        <v>1640</v>
      </c>
      <c r="C406" s="173" t="s">
        <v>1637</v>
      </c>
      <c r="D406" s="188"/>
      <c r="E406" s="189"/>
      <c r="F406" s="189"/>
      <c r="G406" s="190"/>
      <c r="H406" s="174">
        <v>0.12800792202552513</v>
      </c>
      <c r="I406" s="175">
        <v>0.12583510185312555</v>
      </c>
      <c r="J406" s="176">
        <v>1.6817493594424072E-4</v>
      </c>
      <c r="K406" s="176">
        <v>2.0046452364553494E-3</v>
      </c>
      <c r="L406" s="174">
        <v>0.12194494413705786</v>
      </c>
      <c r="M406" s="175">
        <v>0.1198750376004116</v>
      </c>
      <c r="N406" s="183">
        <v>1.6020948426054719E-4</v>
      </c>
      <c r="O406" s="181">
        <v>1.9096970523857222E-3</v>
      </c>
      <c r="P406"/>
      <c r="Q406"/>
      <c r="R406" s="182"/>
      <c r="S406" s="182"/>
      <c r="T406" s="165"/>
      <c r="U406" s="165"/>
      <c r="V406" s="1285"/>
      <c r="X406"/>
      <c r="Y406"/>
      <c r="Z406"/>
      <c r="AA406"/>
      <c r="AB406"/>
      <c r="AC406"/>
      <c r="AD406"/>
      <c r="AE406"/>
      <c r="AF406"/>
      <c r="AG406"/>
      <c r="AH406"/>
      <c r="AI406"/>
      <c r="AJ406"/>
      <c r="AK406"/>
      <c r="AL406"/>
      <c r="AM406"/>
    </row>
    <row r="407" spans="1:39" s="1278" customFormat="1" ht="15" customHeight="1">
      <c r="A407" s="1833"/>
      <c r="B407" s="173" t="s">
        <v>1641</v>
      </c>
      <c r="C407" s="173" t="s">
        <v>1637</v>
      </c>
      <c r="D407" s="188"/>
      <c r="E407" s="189"/>
      <c r="F407" s="189"/>
      <c r="G407" s="190"/>
      <c r="H407" s="174">
        <v>0.12961887611256342</v>
      </c>
      <c r="I407" s="175">
        <v>0.12741871143302913</v>
      </c>
      <c r="J407" s="176">
        <v>1.702913838648839E-4</v>
      </c>
      <c r="K407" s="176">
        <v>2.0298732956694162E-3</v>
      </c>
      <c r="L407" s="174">
        <v>0.12347959686044228</v>
      </c>
      <c r="M407" s="175">
        <v>0.12138364096417643</v>
      </c>
      <c r="N407" s="183">
        <v>1.6222568856546796E-4</v>
      </c>
      <c r="O407" s="181">
        <v>1.933730207700378E-3</v>
      </c>
      <c r="P407"/>
      <c r="Q407"/>
      <c r="R407" s="182"/>
      <c r="S407" s="182"/>
      <c r="T407" s="165"/>
      <c r="U407" s="165"/>
      <c r="V407" s="1285"/>
      <c r="X407"/>
      <c r="Y407"/>
      <c r="Z407"/>
      <c r="AA407"/>
      <c r="AB407"/>
      <c r="AC407"/>
      <c r="AD407"/>
      <c r="AE407"/>
      <c r="AF407"/>
      <c r="AG407"/>
      <c r="AH407"/>
      <c r="AI407"/>
      <c r="AJ407"/>
      <c r="AK407"/>
      <c r="AL407"/>
      <c r="AM407"/>
    </row>
    <row r="408" spans="1:39" s="1278" customFormat="1">
      <c r="A408" s="1833" t="s">
        <v>1647</v>
      </c>
      <c r="B408" s="173" t="s">
        <v>1636</v>
      </c>
      <c r="C408" s="173" t="s">
        <v>1637</v>
      </c>
      <c r="D408" s="188"/>
      <c r="E408" s="189"/>
      <c r="F408" s="189"/>
      <c r="G408" s="190"/>
      <c r="H408" s="174">
        <v>1.0383773854953831E-2</v>
      </c>
      <c r="I408" s="175">
        <v>9.9725717676036243E-3</v>
      </c>
      <c r="J408" s="176">
        <v>3.969535773634702E-4</v>
      </c>
      <c r="K408" s="191">
        <v>1.424850998673575E-5</v>
      </c>
      <c r="L408" s="174">
        <v>1.0042015190628329E-2</v>
      </c>
      <c r="M408" s="175">
        <v>9.6443468991892906E-3</v>
      </c>
      <c r="N408" s="183">
        <v>3.8388873925220414E-4</v>
      </c>
      <c r="O408" s="192">
        <v>1.3779552186834104E-5</v>
      </c>
      <c r="P408"/>
      <c r="Q408"/>
      <c r="R408" s="182"/>
      <c r="S408" s="182"/>
      <c r="T408" s="165"/>
      <c r="U408" s="165"/>
      <c r="V408" s="1285"/>
      <c r="X408"/>
      <c r="Y408"/>
      <c r="Z408"/>
      <c r="AA408"/>
      <c r="AB408"/>
      <c r="AC408"/>
      <c r="AD408"/>
      <c r="AE408"/>
      <c r="AF408"/>
      <c r="AG408"/>
      <c r="AH408"/>
      <c r="AI408"/>
      <c r="AJ408"/>
      <c r="AK408"/>
      <c r="AL408"/>
      <c r="AM408"/>
    </row>
    <row r="409" spans="1:39" s="1278" customFormat="1">
      <c r="A409" s="1833"/>
      <c r="B409" s="173" t="s">
        <v>1638</v>
      </c>
      <c r="C409" s="173" t="s">
        <v>1637</v>
      </c>
      <c r="D409" s="188"/>
      <c r="E409" s="189"/>
      <c r="F409" s="189"/>
      <c r="G409" s="190"/>
      <c r="H409" s="174">
        <v>9.9732701206606076E-3</v>
      </c>
      <c r="I409" s="175">
        <v>9.5783241647289328E-3</v>
      </c>
      <c r="J409" s="176">
        <v>3.8126073503803588E-4</v>
      </c>
      <c r="K409" s="191">
        <v>1.3685220893639904E-5</v>
      </c>
      <c r="L409" s="174">
        <v>9.6450222675192078E-3</v>
      </c>
      <c r="M409" s="175">
        <v>9.2630750733349847E-3</v>
      </c>
      <c r="N409" s="183">
        <v>3.687123916913445E-4</v>
      </c>
      <c r="O409" s="192">
        <v>1.3234802492879134E-5</v>
      </c>
      <c r="P409"/>
      <c r="Q409"/>
      <c r="R409" s="182"/>
      <c r="S409" s="182"/>
      <c r="T409" s="165"/>
      <c r="U409" s="165"/>
      <c r="V409" s="1285"/>
      <c r="X409"/>
      <c r="Y409"/>
      <c r="Z409"/>
      <c r="AA409"/>
      <c r="AB409"/>
      <c r="AC409"/>
      <c r="AD409"/>
      <c r="AE409"/>
      <c r="AF409"/>
      <c r="AG409"/>
      <c r="AH409"/>
      <c r="AI409"/>
      <c r="AJ409"/>
      <c r="AK409"/>
      <c r="AL409"/>
      <c r="AM409"/>
    </row>
    <row r="410" spans="1:39" s="1278" customFormat="1">
      <c r="A410" s="1833"/>
      <c r="B410" s="173" t="s">
        <v>1639</v>
      </c>
      <c r="C410" s="173" t="s">
        <v>1637</v>
      </c>
      <c r="D410" s="188"/>
      <c r="E410" s="189"/>
      <c r="F410" s="189"/>
      <c r="G410" s="190"/>
      <c r="H410" s="174">
        <v>1.0927614525385917E-2</v>
      </c>
      <c r="I410" s="175">
        <v>1.0494876104329741E-2</v>
      </c>
      <c r="J410" s="176">
        <v>4.1774365837440961E-4</v>
      </c>
      <c r="K410" s="191">
        <v>1.4994762681766069E-5</v>
      </c>
      <c r="L410" s="174">
        <v>1.0567956563201197E-2</v>
      </c>
      <c r="M410" s="175">
        <v>1.0149460758254377E-2</v>
      </c>
      <c r="N410" s="183">
        <v>4.0399456130134793E-4</v>
      </c>
      <c r="O410" s="192">
        <v>1.4501243645471456E-5</v>
      </c>
      <c r="P410"/>
      <c r="Q410"/>
      <c r="R410" s="182"/>
      <c r="S410" s="182"/>
      <c r="T410" s="165"/>
      <c r="U410" s="165"/>
      <c r="V410" s="1285"/>
      <c r="X410"/>
      <c r="Y410"/>
      <c r="Z410"/>
      <c r="AA410"/>
      <c r="AB410"/>
      <c r="AC410"/>
      <c r="AD410"/>
      <c r="AE410"/>
      <c r="AF410"/>
      <c r="AG410"/>
      <c r="AH410"/>
      <c r="AI410"/>
      <c r="AJ410"/>
      <c r="AK410"/>
      <c r="AL410"/>
      <c r="AM410"/>
    </row>
    <row r="411" spans="1:39" s="1278" customFormat="1">
      <c r="A411" s="1833"/>
      <c r="B411" s="173" t="s">
        <v>1640</v>
      </c>
      <c r="C411" s="173" t="s">
        <v>1637</v>
      </c>
      <c r="D411" s="188"/>
      <c r="E411" s="189"/>
      <c r="F411" s="189"/>
      <c r="G411" s="190"/>
      <c r="H411" s="174">
        <v>1.2368472395754277E-2</v>
      </c>
      <c r="I411" s="175">
        <v>1.187867535880887E-2</v>
      </c>
      <c r="J411" s="176">
        <v>4.7282514359398296E-4</v>
      </c>
      <c r="K411" s="191">
        <v>1.6971893351422938E-5</v>
      </c>
      <c r="L411" s="174">
        <v>1.1961391823241305E-2</v>
      </c>
      <c r="M411" s="175">
        <v>1.1487715358977401E-2</v>
      </c>
      <c r="N411" s="183">
        <v>4.5726316277743217E-4</v>
      </c>
      <c r="O411" s="192">
        <v>1.6413301486472994E-5</v>
      </c>
      <c r="P411"/>
      <c r="Q411"/>
      <c r="R411" s="182"/>
      <c r="S411" s="182"/>
      <c r="T411" s="165"/>
      <c r="U411" s="165"/>
      <c r="V411" s="1285"/>
      <c r="X411"/>
      <c r="Y411"/>
      <c r="Z411"/>
      <c r="AA411"/>
      <c r="AB411"/>
      <c r="AC411"/>
      <c r="AD411"/>
      <c r="AE411"/>
      <c r="AF411"/>
      <c r="AG411"/>
      <c r="AH411"/>
      <c r="AI411"/>
      <c r="AJ411"/>
      <c r="AK411"/>
      <c r="AL411"/>
      <c r="AM411"/>
    </row>
    <row r="412" spans="1:39" s="1278" customFormat="1">
      <c r="A412" s="1833"/>
      <c r="B412" s="173" t="s">
        <v>1641</v>
      </c>
      <c r="C412" s="173" t="s">
        <v>1637</v>
      </c>
      <c r="D412" s="188"/>
      <c r="E412" s="189"/>
      <c r="F412" s="189"/>
      <c r="G412" s="190"/>
      <c r="H412" s="174">
        <v>1.4628674222070072E-2</v>
      </c>
      <c r="I412" s="175">
        <v>1.4049372182242654E-2</v>
      </c>
      <c r="J412" s="176">
        <v>5.5922872027544892E-4</v>
      </c>
      <c r="K412" s="191">
        <v>2.0073319551969005E-5</v>
      </c>
      <c r="L412" s="174">
        <v>1.4147204167654139E-2</v>
      </c>
      <c r="M412" s="175">
        <v>1.3586968557251895E-2</v>
      </c>
      <c r="N412" s="180">
        <v>5.408229592136736E-4</v>
      </c>
      <c r="O412" s="192">
        <v>1.9412651188569813E-5</v>
      </c>
      <c r="P412"/>
      <c r="Q412"/>
      <c r="R412" s="182"/>
      <c r="S412" s="182"/>
      <c r="T412" s="165"/>
      <c r="U412" s="165"/>
      <c r="V412" s="1285"/>
      <c r="X412"/>
      <c r="Y412"/>
      <c r="Z412"/>
      <c r="AA412"/>
      <c r="AB412"/>
      <c r="AC412"/>
      <c r="AD412"/>
      <c r="AE412"/>
      <c r="AF412"/>
      <c r="AG412"/>
      <c r="AH412"/>
      <c r="AI412"/>
      <c r="AJ412"/>
      <c r="AK412"/>
      <c r="AL412"/>
      <c r="AM412"/>
    </row>
    <row r="413" spans="1:39" s="1278" customFormat="1">
      <c r="A413" s="1833" t="s">
        <v>1648</v>
      </c>
      <c r="B413" s="173" t="s">
        <v>1636</v>
      </c>
      <c r="C413" s="173" t="s">
        <v>1637</v>
      </c>
      <c r="D413" s="188"/>
      <c r="E413" s="189"/>
      <c r="F413" s="189"/>
      <c r="G413" s="190"/>
      <c r="H413" s="174">
        <v>2.1460853018309606E-2</v>
      </c>
      <c r="I413" s="175">
        <v>2.0610993643412415E-2</v>
      </c>
      <c r="J413" s="175">
        <v>8.2041100835660529E-4</v>
      </c>
      <c r="K413" s="191">
        <v>2.9448366540587775E-5</v>
      </c>
      <c r="L413" s="174">
        <v>2.0769383696830596E-2</v>
      </c>
      <c r="M413" s="175">
        <v>1.9946906816227145E-2</v>
      </c>
      <c r="N413" s="180">
        <v>7.939773413071984E-4</v>
      </c>
      <c r="O413" s="192">
        <v>2.8499539296250709E-5</v>
      </c>
      <c r="P413"/>
      <c r="Q413"/>
      <c r="R413" s="182"/>
      <c r="S413" s="182"/>
      <c r="T413" s="165"/>
      <c r="U413" s="165"/>
      <c r="V413" s="1285"/>
      <c r="X413"/>
      <c r="Y413"/>
      <c r="Z413"/>
      <c r="AA413"/>
      <c r="AB413"/>
      <c r="AC413"/>
      <c r="AD413"/>
      <c r="AE413"/>
      <c r="AF413"/>
      <c r="AG413"/>
      <c r="AH413"/>
      <c r="AI413"/>
      <c r="AJ413"/>
      <c r="AK413"/>
      <c r="AL413"/>
      <c r="AM413"/>
    </row>
    <row r="414" spans="1:39" s="1278" customFormat="1">
      <c r="A414" s="1833"/>
      <c r="B414" s="173" t="s">
        <v>1638</v>
      </c>
      <c r="C414" s="173" t="s">
        <v>1637</v>
      </c>
      <c r="D414" s="188"/>
      <c r="E414" s="189"/>
      <c r="F414" s="189"/>
      <c r="G414" s="190"/>
      <c r="H414" s="174">
        <v>2.3043590928409956E-2</v>
      </c>
      <c r="I414" s="175">
        <v>2.2131054424614095E-2</v>
      </c>
      <c r="J414" s="175">
        <v>8.8091632022290552E-4</v>
      </c>
      <c r="K414" s="191">
        <v>3.1620183572956145E-5</v>
      </c>
      <c r="L414" s="174">
        <v>2.2301125744471854E-2</v>
      </c>
      <c r="M414" s="175">
        <v>2.1417991193923899E-2</v>
      </c>
      <c r="N414" s="180">
        <v>8.5253317022860426E-4</v>
      </c>
      <c r="O414" s="192">
        <v>3.0601380319349202E-5</v>
      </c>
      <c r="P414"/>
      <c r="Q414"/>
      <c r="R414" s="182"/>
      <c r="S414" s="182"/>
      <c r="T414" s="165"/>
      <c r="U414" s="165"/>
      <c r="V414" s="1285"/>
      <c r="X414"/>
      <c r="Y414"/>
      <c r="Z414"/>
      <c r="AA414"/>
      <c r="AB414"/>
      <c r="AC414"/>
      <c r="AD414"/>
      <c r="AE414"/>
      <c r="AF414"/>
      <c r="AG414"/>
      <c r="AH414"/>
      <c r="AI414"/>
      <c r="AJ414"/>
      <c r="AK414"/>
      <c r="AL414"/>
      <c r="AM414"/>
    </row>
    <row r="415" spans="1:39" s="1278" customFormat="1">
      <c r="A415" s="1833"/>
      <c r="B415" s="173" t="s">
        <v>1639</v>
      </c>
      <c r="C415" s="173" t="s">
        <v>1637</v>
      </c>
      <c r="D415" s="188"/>
      <c r="E415" s="189"/>
      <c r="F415" s="189"/>
      <c r="G415" s="190"/>
      <c r="H415" s="174">
        <v>2.6071112628052895E-2</v>
      </c>
      <c r="I415" s="175">
        <v>2.5038684911314515E-2</v>
      </c>
      <c r="J415" s="175">
        <v>9.9665319835661576E-4</v>
      </c>
      <c r="K415" s="191">
        <v>3.5774518381763804E-5</v>
      </c>
      <c r="L415" s="174">
        <v>2.523110060505724E-2</v>
      </c>
      <c r="M415" s="175">
        <v>2.4231937740007661E-2</v>
      </c>
      <c r="N415" s="180">
        <v>9.6454100271231515E-4</v>
      </c>
      <c r="O415" s="192">
        <v>3.4621862337263987E-5</v>
      </c>
      <c r="P415"/>
      <c r="Q415"/>
      <c r="R415" s="182"/>
      <c r="S415" s="182"/>
      <c r="T415" s="165"/>
      <c r="U415" s="165"/>
      <c r="V415" s="1285"/>
      <c r="X415"/>
      <c r="Y415"/>
      <c r="Z415"/>
      <c r="AA415"/>
      <c r="AB415"/>
      <c r="AC415"/>
      <c r="AD415"/>
      <c r="AE415"/>
      <c r="AF415"/>
      <c r="AG415"/>
      <c r="AH415"/>
      <c r="AI415"/>
      <c r="AJ415"/>
      <c r="AK415"/>
      <c r="AL415"/>
      <c r="AM415"/>
    </row>
    <row r="416" spans="1:39" s="1278" customFormat="1">
      <c r="A416" s="1833"/>
      <c r="B416" s="173" t="s">
        <v>1640</v>
      </c>
      <c r="C416" s="173" t="s">
        <v>1637</v>
      </c>
      <c r="D416" s="188"/>
      <c r="E416" s="189"/>
      <c r="F416" s="189"/>
      <c r="G416" s="190"/>
      <c r="H416" s="174">
        <v>3.2109962590961071E-2</v>
      </c>
      <c r="I416" s="175">
        <v>3.0838393715658469E-2</v>
      </c>
      <c r="J416" s="175">
        <v>1.2275079077736593E-3</v>
      </c>
      <c r="K416" s="191">
        <v>4.4060967528944171E-5</v>
      </c>
      <c r="L416" s="174">
        <v>3.1075378642851256E-2</v>
      </c>
      <c r="M416" s="175">
        <v>2.9844779754467119E-2</v>
      </c>
      <c r="N416" s="180">
        <v>1.187957566537261E-3</v>
      </c>
      <c r="O416" s="192">
        <v>4.2641321846875845E-5</v>
      </c>
      <c r="P416"/>
      <c r="Q416"/>
      <c r="R416" s="182"/>
      <c r="S416" s="182"/>
      <c r="T416" s="165"/>
      <c r="U416" s="165"/>
      <c r="V416" s="1285"/>
      <c r="X416"/>
      <c r="Y416"/>
      <c r="Z416"/>
      <c r="AA416"/>
      <c r="AB416"/>
      <c r="AC416"/>
      <c r="AD416"/>
      <c r="AE416"/>
      <c r="AF416"/>
      <c r="AG416"/>
      <c r="AH416"/>
      <c r="AI416"/>
      <c r="AJ416"/>
      <c r="AK416"/>
      <c r="AL416"/>
      <c r="AM416"/>
    </row>
    <row r="417" spans="1:39" s="1278" customFormat="1">
      <c r="A417" s="1833"/>
      <c r="B417" s="173" t="s">
        <v>1641</v>
      </c>
      <c r="C417" s="173" t="s">
        <v>1637</v>
      </c>
      <c r="D417" s="193"/>
      <c r="E417" s="194"/>
      <c r="F417" s="194"/>
      <c r="G417" s="195"/>
      <c r="H417" s="174">
        <v>3.7534568741519031E-2</v>
      </c>
      <c r="I417" s="175">
        <v>3.6048183037256112E-2</v>
      </c>
      <c r="J417" s="175">
        <v>1.4348811467646619E-3</v>
      </c>
      <c r="K417" s="191">
        <v>5.150455749825567E-5</v>
      </c>
      <c r="L417" s="174">
        <v>3.6325203822167418E-2</v>
      </c>
      <c r="M417" s="175">
        <v>3.4886709509430541E-2</v>
      </c>
      <c r="N417" s="180">
        <v>1.3886492336105168E-3</v>
      </c>
      <c r="O417" s="192">
        <v>4.9845079126356361E-5</v>
      </c>
      <c r="P417"/>
      <c r="Q417"/>
      <c r="R417"/>
      <c r="S417"/>
      <c r="T417"/>
      <c r="U417"/>
      <c r="X417"/>
      <c r="Y417"/>
      <c r="Z417"/>
      <c r="AA417"/>
      <c r="AB417"/>
      <c r="AC417"/>
      <c r="AD417"/>
      <c r="AE417"/>
      <c r="AF417"/>
      <c r="AG417"/>
      <c r="AH417"/>
      <c r="AI417"/>
      <c r="AJ417"/>
      <c r="AK417"/>
      <c r="AL417"/>
      <c r="AM417"/>
    </row>
    <row r="418" spans="1:39" s="1278" customFormat="1">
      <c r="A418" s="196"/>
      <c r="B418" s="196"/>
      <c r="C418" s="196"/>
      <c r="D418" s="196"/>
      <c r="E418" s="196"/>
      <c r="F418" s="196"/>
      <c r="G418" s="196"/>
      <c r="H418" s="196"/>
      <c r="I418" s="196"/>
      <c r="J418" s="196"/>
      <c r="K418" s="196"/>
      <c r="L418" s="196"/>
      <c r="M418" s="196"/>
      <c r="N418" s="196"/>
      <c r="O418" s="196"/>
      <c r="P418"/>
      <c r="Q418"/>
      <c r="R418"/>
      <c r="S418"/>
      <c r="T418"/>
      <c r="U418"/>
      <c r="X418"/>
      <c r="Y418"/>
      <c r="Z418"/>
      <c r="AA418"/>
      <c r="AB418"/>
      <c r="AC418"/>
      <c r="AD418"/>
      <c r="AE418"/>
      <c r="AF418"/>
      <c r="AG418"/>
      <c r="AH418"/>
      <c r="AI418"/>
      <c r="AJ418"/>
      <c r="AK418"/>
      <c r="AL418"/>
      <c r="AM418"/>
    </row>
    <row r="419" spans="1:39" s="1278" customFormat="1">
      <c r="A419" s="197" t="s">
        <v>1649</v>
      </c>
      <c r="B419" s="198"/>
      <c r="C419" s="198"/>
      <c r="D419" s="198"/>
      <c r="E419" s="198"/>
      <c r="F419" s="198"/>
      <c r="G419" s="198"/>
      <c r="H419"/>
      <c r="I419"/>
      <c r="J419"/>
      <c r="K419"/>
      <c r="L419"/>
      <c r="M419"/>
      <c r="N419"/>
      <c r="O419"/>
      <c r="P419"/>
      <c r="Q419"/>
      <c r="R419"/>
      <c r="S419"/>
      <c r="T419"/>
      <c r="U419"/>
      <c r="X419"/>
      <c r="Y419"/>
      <c r="Z419"/>
      <c r="AA419"/>
      <c r="AB419"/>
      <c r="AC419"/>
      <c r="AD419"/>
      <c r="AE419"/>
      <c r="AF419"/>
      <c r="AG419"/>
      <c r="AH419"/>
      <c r="AI419"/>
      <c r="AJ419"/>
      <c r="AK419"/>
      <c r="AL419"/>
      <c r="AM419"/>
    </row>
    <row r="420" spans="1:39" s="1278" customFormat="1" ht="24" customHeight="1">
      <c r="A420" s="1923"/>
      <c r="B420" s="1924"/>
      <c r="C420" s="1924"/>
      <c r="D420" s="1925" t="s">
        <v>1650</v>
      </c>
      <c r="E420" s="1925"/>
      <c r="F420" s="1925"/>
      <c r="G420" s="1925"/>
      <c r="H420"/>
      <c r="I420"/>
      <c r="J420"/>
      <c r="K420"/>
      <c r="L420"/>
      <c r="M420"/>
      <c r="N420"/>
      <c r="O420"/>
      <c r="P420"/>
      <c r="Q420"/>
      <c r="R420"/>
      <c r="S420"/>
      <c r="T420"/>
      <c r="U420"/>
      <c r="X420"/>
      <c r="Y420"/>
      <c r="Z420"/>
      <c r="AA420"/>
      <c r="AB420"/>
      <c r="AC420"/>
      <c r="AD420"/>
      <c r="AE420"/>
      <c r="AF420"/>
      <c r="AG420"/>
      <c r="AH420"/>
      <c r="AI420"/>
      <c r="AJ420"/>
      <c r="AK420"/>
      <c r="AL420"/>
      <c r="AM420"/>
    </row>
    <row r="421" spans="1:39" s="1278" customFormat="1" ht="18">
      <c r="A421" s="1944" t="s">
        <v>1613</v>
      </c>
      <c r="B421" s="1945"/>
      <c r="C421" s="199" t="s">
        <v>1340</v>
      </c>
      <c r="D421" s="171" t="s">
        <v>1614</v>
      </c>
      <c r="E421" s="172" t="s">
        <v>1615</v>
      </c>
      <c r="F421" s="172" t="s">
        <v>1616</v>
      </c>
      <c r="G421" s="172" t="s">
        <v>1617</v>
      </c>
      <c r="H421"/>
      <c r="I421"/>
      <c r="J421"/>
      <c r="K421"/>
      <c r="L421"/>
      <c r="M421"/>
      <c r="N421"/>
      <c r="O421"/>
      <c r="P421"/>
      <c r="Q421"/>
      <c r="R421" s="165"/>
      <c r="S421"/>
      <c r="T421"/>
      <c r="U421"/>
      <c r="X421"/>
      <c r="Y421"/>
      <c r="Z421"/>
      <c r="AA421"/>
      <c r="AB421"/>
      <c r="AC421"/>
      <c r="AD421"/>
      <c r="AE421"/>
      <c r="AF421"/>
      <c r="AG421"/>
      <c r="AH421"/>
      <c r="AI421"/>
      <c r="AJ421"/>
      <c r="AK421"/>
      <c r="AL421"/>
      <c r="AM421"/>
    </row>
    <row r="422" spans="1:39" s="1278" customFormat="1">
      <c r="A422" s="1942" t="s">
        <v>72</v>
      </c>
      <c r="B422" s="1943"/>
      <c r="C422" s="200" t="s">
        <v>1637</v>
      </c>
      <c r="D422" s="201">
        <v>0.31671076482504879</v>
      </c>
      <c r="E422" s="202">
        <v>0.30284214034579632</v>
      </c>
      <c r="F422" s="202">
        <v>3.5654768449309062E-3</v>
      </c>
      <c r="G422" s="202">
        <v>1.0303147634321554E-2</v>
      </c>
      <c r="H422" s="196"/>
      <c r="I422" s="196"/>
      <c r="J422" s="196"/>
      <c r="K422" s="196"/>
      <c r="L422" s="196"/>
      <c r="M422" s="196"/>
      <c r="N422" s="196"/>
      <c r="O422" s="196"/>
      <c r="P422"/>
      <c r="Q422" s="182"/>
      <c r="R422" s="165"/>
      <c r="S422"/>
      <c r="T422"/>
      <c r="U422"/>
      <c r="X422"/>
      <c r="Y422"/>
      <c r="Z422"/>
      <c r="AA422"/>
      <c r="AB422"/>
      <c r="AC422"/>
      <c r="AD422"/>
      <c r="AE422"/>
      <c r="AF422"/>
      <c r="AG422"/>
      <c r="AH422"/>
      <c r="AI422"/>
      <c r="AJ422"/>
      <c r="AK422"/>
      <c r="AL422"/>
      <c r="AM422"/>
    </row>
    <row r="423" spans="1:39" s="1278" customFormat="1">
      <c r="A423" s="1941" t="s">
        <v>70</v>
      </c>
      <c r="B423" s="1941"/>
      <c r="C423" s="200" t="s">
        <v>1637</v>
      </c>
      <c r="D423" s="201">
        <v>0.29601224640896162</v>
      </c>
      <c r="E423" s="202">
        <v>0.29098770284870873</v>
      </c>
      <c r="F423" s="203">
        <v>3.888965603910927E-4</v>
      </c>
      <c r="G423" s="202">
        <v>4.6356469998618246E-3</v>
      </c>
      <c r="H423" s="196"/>
      <c r="I423" s="196"/>
      <c r="J423" s="196"/>
      <c r="K423" s="196"/>
      <c r="L423" s="196"/>
      <c r="M423" s="196"/>
      <c r="N423" s="196"/>
      <c r="O423" s="196"/>
      <c r="P423"/>
      <c r="Q423" s="182"/>
      <c r="R423" s="165"/>
      <c r="S423"/>
      <c r="T423"/>
      <c r="U423"/>
      <c r="X423"/>
      <c r="Y423"/>
      <c r="Z423"/>
      <c r="AA423"/>
      <c r="AB423"/>
      <c r="AC423"/>
      <c r="AD423"/>
      <c r="AE423"/>
      <c r="AF423"/>
      <c r="AG423"/>
      <c r="AH423"/>
      <c r="AI423"/>
      <c r="AJ423"/>
      <c r="AK423"/>
      <c r="AL423"/>
      <c r="AM423"/>
    </row>
    <row r="424" spans="1:39" s="1278" customFormat="1">
      <c r="A424" s="1941" t="s">
        <v>1651</v>
      </c>
      <c r="B424" s="1941"/>
      <c r="C424" s="200" t="s">
        <v>1637</v>
      </c>
      <c r="D424" s="201">
        <v>0.2500348143355649</v>
      </c>
      <c r="E424" s="202">
        <v>0.23908590027299714</v>
      </c>
      <c r="F424" s="202">
        <v>2.8148501407349266E-3</v>
      </c>
      <c r="G424" s="202">
        <v>8.1340639218328067E-3</v>
      </c>
      <c r="H424" s="196"/>
      <c r="I424" s="196"/>
      <c r="J424" s="196"/>
      <c r="K424" s="196"/>
      <c r="L424" s="196"/>
      <c r="M424" s="196"/>
      <c r="N424" s="196"/>
      <c r="O424" s="196"/>
      <c r="P424"/>
      <c r="Q424" s="182"/>
      <c r="R424" s="165"/>
      <c r="S424"/>
      <c r="T424"/>
      <c r="U424"/>
      <c r="X424"/>
      <c r="Y424"/>
      <c r="Z424"/>
      <c r="AA424"/>
      <c r="AB424"/>
      <c r="AC424"/>
      <c r="AD424"/>
      <c r="AE424"/>
      <c r="AF424"/>
      <c r="AG424"/>
      <c r="AH424"/>
      <c r="AI424"/>
      <c r="AJ424"/>
      <c r="AK424"/>
      <c r="AL424"/>
      <c r="AM424"/>
    </row>
    <row r="425" spans="1:39" s="1278" customFormat="1">
      <c r="A425" s="1941" t="s">
        <v>1652</v>
      </c>
      <c r="B425" s="1941"/>
      <c r="C425" s="200" t="s">
        <v>1637</v>
      </c>
      <c r="D425" s="201">
        <v>0.26535383517374728</v>
      </c>
      <c r="E425" s="202">
        <v>0.26084969076794917</v>
      </c>
      <c r="F425" s="203">
        <v>3.4861798806487185E-4</v>
      </c>
      <c r="G425" s="202">
        <v>4.1555264177332721E-3</v>
      </c>
      <c r="H425" s="196"/>
      <c r="I425" s="196"/>
      <c r="J425" s="196"/>
      <c r="K425" s="196"/>
      <c r="L425" s="196"/>
      <c r="M425" s="196"/>
      <c r="N425" s="196"/>
      <c r="O425" s="196"/>
      <c r="P425"/>
      <c r="Q425" s="182"/>
      <c r="R425"/>
      <c r="S425"/>
      <c r="T425"/>
      <c r="U425"/>
      <c r="X425"/>
      <c r="Y425"/>
      <c r="Z425"/>
      <c r="AA425"/>
      <c r="AB425"/>
      <c r="AC425"/>
      <c r="AD425"/>
      <c r="AE425"/>
      <c r="AF425"/>
      <c r="AG425"/>
      <c r="AH425"/>
      <c r="AI425"/>
      <c r="AJ425"/>
      <c r="AK425"/>
      <c r="AL425"/>
      <c r="AM425"/>
    </row>
    <row r="426" spans="1:39" s="1278" customFormat="1">
      <c r="A426" s="196"/>
      <c r="B426" s="196"/>
      <c r="C426" s="196"/>
      <c r="D426" s="196"/>
      <c r="E426" s="196"/>
      <c r="F426" s="196"/>
      <c r="G426" s="196"/>
      <c r="H426" s="196"/>
      <c r="I426" s="196"/>
      <c r="J426" s="196"/>
      <c r="K426" s="196"/>
      <c r="L426" s="196"/>
      <c r="M426" s="196"/>
      <c r="N426" s="196"/>
      <c r="O426" s="196"/>
      <c r="P426"/>
      <c r="Q426"/>
      <c r="R426"/>
      <c r="S426"/>
      <c r="T426"/>
      <c r="U426"/>
      <c r="X426"/>
      <c r="Y426"/>
      <c r="Z426"/>
      <c r="AA426"/>
      <c r="AB426"/>
      <c r="AC426"/>
      <c r="AD426"/>
      <c r="AE426"/>
      <c r="AF426"/>
      <c r="AG426"/>
      <c r="AH426"/>
      <c r="AI426"/>
      <c r="AJ426"/>
      <c r="AK426"/>
      <c r="AL426"/>
      <c r="AM426"/>
    </row>
    <row r="427" spans="1:39" s="1278" customFormat="1" ht="15" customHeight="1">
      <c r="A427"/>
      <c r="B427"/>
      <c r="C427"/>
      <c r="D427"/>
      <c r="E427"/>
      <c r="F427"/>
      <c r="G427"/>
      <c r="H427"/>
      <c r="I427"/>
      <c r="J427"/>
      <c r="K427"/>
      <c r="L427"/>
      <c r="M427"/>
      <c r="N427"/>
      <c r="O427"/>
      <c r="P427"/>
      <c r="Q427"/>
      <c r="R427"/>
      <c r="S427"/>
      <c r="T427"/>
      <c r="U427"/>
      <c r="X427"/>
      <c r="Y427"/>
      <c r="Z427"/>
      <c r="AA427"/>
      <c r="AB427"/>
      <c r="AC427"/>
      <c r="AD427"/>
      <c r="AE427"/>
      <c r="AF427"/>
      <c r="AG427"/>
      <c r="AH427"/>
      <c r="AI427"/>
      <c r="AJ427"/>
      <c r="AK427"/>
      <c r="AL427"/>
      <c r="AM427"/>
    </row>
    <row r="428" spans="1:39" s="1278" customFormat="1">
      <c r="A428" s="1955" t="s">
        <v>1653</v>
      </c>
      <c r="B428" s="1955"/>
      <c r="C428" s="1955"/>
      <c r="D428" s="1955"/>
      <c r="E428" s="1955"/>
      <c r="F428" s="1955"/>
      <c r="G428" s="1955"/>
      <c r="H428" s="1955"/>
      <c r="I428" s="1955"/>
      <c r="J428" s="1955"/>
      <c r="K428" s="1955"/>
      <c r="L428" s="1955"/>
      <c r="M428" s="1955"/>
      <c r="N428" s="1955"/>
      <c r="O428" s="1955"/>
      <c r="P428"/>
      <c r="Q428"/>
      <c r="R428"/>
      <c r="S428"/>
      <c r="T428"/>
      <c r="U428"/>
      <c r="X428"/>
      <c r="Y428"/>
      <c r="Z428"/>
      <c r="AA428"/>
      <c r="AB428"/>
      <c r="AC428"/>
      <c r="AD428"/>
      <c r="AE428"/>
      <c r="AF428"/>
      <c r="AG428"/>
      <c r="AH428"/>
      <c r="AI428"/>
      <c r="AJ428"/>
      <c r="AK428"/>
      <c r="AL428"/>
      <c r="AM428"/>
    </row>
    <row r="429" spans="1:39" s="1278" customFormat="1" ht="19.5" customHeight="1">
      <c r="A429" s="1923"/>
      <c r="B429" s="1924"/>
      <c r="C429" s="1924"/>
      <c r="D429" s="1925" t="s">
        <v>1633</v>
      </c>
      <c r="E429" s="1925"/>
      <c r="F429" s="1925"/>
      <c r="G429" s="1925"/>
      <c r="H429" s="1925" t="s">
        <v>1634</v>
      </c>
      <c r="I429" s="1925"/>
      <c r="J429" s="1925"/>
      <c r="K429" s="1925"/>
      <c r="L429" s="1925" t="s">
        <v>1635</v>
      </c>
      <c r="M429" s="1925"/>
      <c r="N429" s="1925"/>
      <c r="O429" s="1952"/>
      <c r="P429"/>
      <c r="Q429"/>
      <c r="R429"/>
      <c r="S429"/>
      <c r="T429"/>
      <c r="U429"/>
      <c r="X429"/>
      <c r="Y429"/>
      <c r="Z429"/>
      <c r="AA429"/>
      <c r="AB429"/>
      <c r="AC429"/>
      <c r="AD429"/>
      <c r="AE429"/>
      <c r="AF429"/>
      <c r="AG429"/>
      <c r="AH429"/>
      <c r="AI429"/>
      <c r="AJ429"/>
      <c r="AK429"/>
      <c r="AL429"/>
      <c r="AM429"/>
    </row>
    <row r="430" spans="1:39" s="1278" customFormat="1" ht="18">
      <c r="A430" s="1810" t="s">
        <v>1613</v>
      </c>
      <c r="B430" s="1837"/>
      <c r="C430" s="170" t="s">
        <v>1340</v>
      </c>
      <c r="D430" s="171" t="s">
        <v>1614</v>
      </c>
      <c r="E430" s="172" t="s">
        <v>1615</v>
      </c>
      <c r="F430" s="172" t="s">
        <v>1616</v>
      </c>
      <c r="G430" s="172" t="s">
        <v>1617</v>
      </c>
      <c r="H430" s="171" t="s">
        <v>1614</v>
      </c>
      <c r="I430" s="172" t="s">
        <v>1615</v>
      </c>
      <c r="J430" s="172" t="s">
        <v>1616</v>
      </c>
      <c r="K430" s="172" t="s">
        <v>1617</v>
      </c>
      <c r="L430" s="171" t="s">
        <v>1614</v>
      </c>
      <c r="M430" s="172" t="s">
        <v>1615</v>
      </c>
      <c r="N430" s="172" t="s">
        <v>1616</v>
      </c>
      <c r="O430" s="172" t="s">
        <v>1617</v>
      </c>
      <c r="P430"/>
      <c r="Q430"/>
      <c r="R430" s="182"/>
      <c r="S430" s="182"/>
      <c r="T430" s="165"/>
      <c r="U430" s="165"/>
      <c r="V430" s="1285"/>
      <c r="X430"/>
      <c r="Y430"/>
      <c r="Z430"/>
      <c r="AA430"/>
      <c r="AB430"/>
      <c r="AC430"/>
      <c r="AD430"/>
      <c r="AE430"/>
      <c r="AF430"/>
      <c r="AG430"/>
      <c r="AH430"/>
      <c r="AI430"/>
      <c r="AJ430"/>
      <c r="AK430"/>
      <c r="AL430"/>
      <c r="AM430"/>
    </row>
    <row r="431" spans="1:39" s="1278" customFormat="1">
      <c r="A431" s="1948" t="s">
        <v>1654</v>
      </c>
      <c r="B431" s="173" t="s">
        <v>1655</v>
      </c>
      <c r="C431" s="173" t="s">
        <v>1637</v>
      </c>
      <c r="D431" s="174">
        <v>0.44552164285599</v>
      </c>
      <c r="E431" s="204">
        <v>0.43889678571314994</v>
      </c>
      <c r="F431" s="204">
        <v>5.8629985714134009E-4</v>
      </c>
      <c r="G431" s="204">
        <v>6.9892242856962007E-3</v>
      </c>
      <c r="H431" s="174">
        <v>0.42276234195942003</v>
      </c>
      <c r="I431" s="204">
        <v>0.41647591308270004</v>
      </c>
      <c r="J431" s="204">
        <v>5.5634895558972E-4</v>
      </c>
      <c r="K431" s="204">
        <v>6.6321824649396002E-3</v>
      </c>
      <c r="L431" s="174">
        <v>0.42121662942786003</v>
      </c>
      <c r="M431" s="204">
        <v>0.41495318512410001</v>
      </c>
      <c r="N431" s="205">
        <v>5.5431482088275997E-4</v>
      </c>
      <c r="O431" s="205">
        <v>6.6079337404668006E-3</v>
      </c>
      <c r="P431"/>
      <c r="Q431" s="182"/>
      <c r="R431" s="182"/>
      <c r="S431" s="182"/>
      <c r="T431" s="165"/>
      <c r="U431" s="165"/>
      <c r="V431" s="1285"/>
      <c r="X431"/>
      <c r="Y431"/>
      <c r="Z431"/>
      <c r="AA431"/>
      <c r="AB431"/>
      <c r="AC431"/>
      <c r="AD431"/>
      <c r="AE431"/>
      <c r="AF431"/>
      <c r="AG431"/>
      <c r="AH431"/>
      <c r="AI431"/>
      <c r="AJ431"/>
      <c r="AK431"/>
      <c r="AL431"/>
      <c r="AM431"/>
    </row>
    <row r="432" spans="1:39" s="1278" customFormat="1">
      <c r="A432" s="1949"/>
      <c r="B432" s="173" t="s">
        <v>1656</v>
      </c>
      <c r="C432" s="173" t="s">
        <v>1637</v>
      </c>
      <c r="D432" s="174">
        <v>0.51042269642933991</v>
      </c>
      <c r="E432" s="204">
        <v>0.50283276785789999</v>
      </c>
      <c r="F432" s="204">
        <v>6.7170867857243991E-4</v>
      </c>
      <c r="G432" s="204">
        <v>8.0073746428692E-3</v>
      </c>
      <c r="H432" s="174">
        <v>0.48434795029859001</v>
      </c>
      <c r="I432" s="204">
        <v>0.47714575029415002</v>
      </c>
      <c r="J432" s="204">
        <v>6.3739470039294005E-4</v>
      </c>
      <c r="K432" s="204">
        <v>7.5983210046842008E-3</v>
      </c>
      <c r="L432" s="174">
        <v>0.47706049696657005</v>
      </c>
      <c r="M432" s="204">
        <v>0.46996666058045</v>
      </c>
      <c r="N432" s="205">
        <v>6.2780452017162011E-4</v>
      </c>
      <c r="O432" s="205">
        <v>7.4839973873566E-3</v>
      </c>
      <c r="P432"/>
      <c r="Q432" s="182"/>
      <c r="R432" s="182"/>
      <c r="S432" s="182"/>
      <c r="T432" s="165"/>
      <c r="U432" s="165"/>
      <c r="V432" s="1285"/>
      <c r="X432"/>
      <c r="Y432"/>
      <c r="Z432"/>
      <c r="AA432"/>
      <c r="AB432"/>
      <c r="AC432"/>
      <c r="AD432"/>
      <c r="AE432"/>
      <c r="AF432"/>
      <c r="AG432"/>
      <c r="AH432"/>
      <c r="AI432"/>
      <c r="AJ432"/>
      <c r="AK432"/>
      <c r="AL432"/>
      <c r="AM432"/>
    </row>
    <row r="433" spans="1:39" s="1278" customFormat="1">
      <c r="A433" s="1949"/>
      <c r="B433" s="173" t="s">
        <v>1657</v>
      </c>
      <c r="C433" s="173" t="s">
        <v>1637</v>
      </c>
      <c r="D433" s="174">
        <v>0.62407039285598997</v>
      </c>
      <c r="E433" s="204">
        <v>0.6147905357131499</v>
      </c>
      <c r="F433" s="204">
        <v>8.2126735714133992E-4</v>
      </c>
      <c r="G433" s="204">
        <v>9.7902492856962002E-3</v>
      </c>
      <c r="H433" s="174">
        <v>0.59218999808837991</v>
      </c>
      <c r="I433" s="204">
        <v>0.58338419886029991</v>
      </c>
      <c r="J433" s="204">
        <v>7.7931323168507999E-4</v>
      </c>
      <c r="K433" s="204">
        <v>9.2901181856243995E-3</v>
      </c>
      <c r="L433" s="174">
        <v>0.58327996352992995</v>
      </c>
      <c r="M433" s="204">
        <v>0.57460665552205004</v>
      </c>
      <c r="N433" s="205">
        <v>7.6758775869738001E-4</v>
      </c>
      <c r="O433" s="205">
        <v>9.1503399483134004E-3</v>
      </c>
      <c r="P433"/>
      <c r="Q433" s="182"/>
      <c r="R433" s="182"/>
      <c r="S433" s="182"/>
      <c r="T433" s="165"/>
      <c r="U433" s="165"/>
      <c r="V433" s="1285"/>
      <c r="X433"/>
      <c r="Y433"/>
      <c r="Z433"/>
      <c r="AA433"/>
      <c r="AB433"/>
      <c r="AC433"/>
      <c r="AD433"/>
      <c r="AE433"/>
      <c r="AF433"/>
      <c r="AG433"/>
      <c r="AH433"/>
      <c r="AI433"/>
      <c r="AJ433"/>
      <c r="AK433"/>
      <c r="AL433"/>
      <c r="AM433"/>
    </row>
    <row r="434" spans="1:39" s="1278" customFormat="1">
      <c r="A434" s="1949"/>
      <c r="B434" s="173" t="s">
        <v>1658</v>
      </c>
      <c r="C434" s="173" t="s">
        <v>1637</v>
      </c>
      <c r="D434" s="174">
        <v>0.73998537499999995</v>
      </c>
      <c r="E434" s="204">
        <v>0.72898187499999989</v>
      </c>
      <c r="F434" s="204">
        <v>9.7380975000000011E-4</v>
      </c>
      <c r="G434" s="204">
        <v>1.16086925E-2</v>
      </c>
      <c r="H434" s="174">
        <v>0.70218350817944997</v>
      </c>
      <c r="I434" s="204">
        <v>0.69174211772324989</v>
      </c>
      <c r="J434" s="204">
        <v>9.2406305537370002E-4</v>
      </c>
      <c r="K434" s="204">
        <v>1.1015666931291E-2</v>
      </c>
      <c r="L434" s="174">
        <v>0.69161852169853011</v>
      </c>
      <c r="M434" s="204">
        <v>0.68133423141305005</v>
      </c>
      <c r="N434" s="205">
        <v>9.1015969026497995E-4</v>
      </c>
      <c r="O434" s="205">
        <v>1.0849926251181401E-2</v>
      </c>
      <c r="P434"/>
      <c r="Q434" s="182"/>
      <c r="R434" s="182"/>
      <c r="S434" s="182"/>
      <c r="T434" s="165"/>
      <c r="U434" s="165"/>
      <c r="V434" s="1285"/>
      <c r="X434"/>
      <c r="Y434"/>
      <c r="Z434"/>
      <c r="AA434"/>
      <c r="AB434"/>
      <c r="AC434"/>
      <c r="AD434"/>
      <c r="AE434"/>
      <c r="AF434"/>
      <c r="AG434"/>
      <c r="AH434"/>
      <c r="AI434"/>
      <c r="AJ434"/>
      <c r="AK434"/>
      <c r="AL434"/>
      <c r="AM434"/>
    </row>
    <row r="435" spans="1:39" s="1278" customFormat="1">
      <c r="A435" s="1949"/>
      <c r="B435" s="173" t="s">
        <v>1659</v>
      </c>
      <c r="C435" s="173" t="s">
        <v>1637</v>
      </c>
      <c r="D435" s="174">
        <v>0.84087958928533002</v>
      </c>
      <c r="E435" s="204">
        <v>0.82837580357105001</v>
      </c>
      <c r="F435" s="204">
        <v>1.10658503571378E-3</v>
      </c>
      <c r="G435" s="204">
        <v>1.3191493928565398E-2</v>
      </c>
      <c r="H435" s="174">
        <v>0.79792358052991996</v>
      </c>
      <c r="I435" s="204">
        <v>0.78605854587519997</v>
      </c>
      <c r="J435" s="204">
        <v>1.05005556694272E-3</v>
      </c>
      <c r="K435" s="204">
        <v>1.25176115607296E-2</v>
      </c>
      <c r="L435" s="174">
        <v>0.78591809799989998</v>
      </c>
      <c r="M435" s="204">
        <v>0.77423158353150001</v>
      </c>
      <c r="N435" s="205">
        <v>1.0342565304534001E-3</v>
      </c>
      <c r="O435" s="205">
        <v>1.2329272764162E-2</v>
      </c>
      <c r="P435"/>
      <c r="Q435" s="182"/>
      <c r="R435" s="182"/>
      <c r="S435" s="182"/>
      <c r="T435" s="165"/>
      <c r="U435" s="165"/>
      <c r="V435" s="1285"/>
      <c r="X435"/>
      <c r="Y435"/>
      <c r="Z435"/>
      <c r="AA435"/>
      <c r="AB435"/>
      <c r="AC435"/>
      <c r="AD435"/>
      <c r="AE435"/>
      <c r="AF435"/>
      <c r="AG435"/>
      <c r="AH435"/>
      <c r="AI435"/>
      <c r="AJ435"/>
      <c r="AK435"/>
      <c r="AL435"/>
      <c r="AM435"/>
    </row>
    <row r="436" spans="1:39" s="1278" customFormat="1">
      <c r="A436" s="1949"/>
      <c r="B436" s="173" t="s">
        <v>1660</v>
      </c>
      <c r="C436" s="173" t="s">
        <v>1637</v>
      </c>
      <c r="D436" s="174">
        <v>0.98218625000000004</v>
      </c>
      <c r="E436" s="204">
        <v>0.96758125000000006</v>
      </c>
      <c r="F436" s="204">
        <v>1.2925425000000002E-3</v>
      </c>
      <c r="G436" s="204">
        <v>1.5408275000000003E-2</v>
      </c>
      <c r="H436" s="174">
        <v>0.95724726000000004</v>
      </c>
      <c r="I436" s="204">
        <v>0.94301310000000005</v>
      </c>
      <c r="J436" s="204">
        <v>1.2597231599999999E-3</v>
      </c>
      <c r="K436" s="204">
        <v>1.50170388E-2</v>
      </c>
      <c r="L436" s="174">
        <v>0.95497132014376007</v>
      </c>
      <c r="M436" s="204">
        <v>0.94077100311560002</v>
      </c>
      <c r="N436" s="205">
        <v>1.2567280569921603E-3</v>
      </c>
      <c r="O436" s="205">
        <v>1.4981334464708802E-2</v>
      </c>
      <c r="P436"/>
      <c r="Q436" s="182"/>
      <c r="R436" s="182"/>
      <c r="S436" s="182"/>
      <c r="T436" s="165"/>
      <c r="U436" s="165"/>
      <c r="V436" s="1285"/>
      <c r="X436"/>
      <c r="Y436"/>
      <c r="Z436"/>
      <c r="AA436"/>
      <c r="AB436"/>
      <c r="AC436"/>
      <c r="AD436"/>
      <c r="AE436"/>
      <c r="AF436"/>
      <c r="AG436"/>
      <c r="AH436"/>
      <c r="AI436"/>
      <c r="AJ436"/>
      <c r="AK436"/>
      <c r="AL436"/>
      <c r="AM436"/>
    </row>
    <row r="437" spans="1:39" s="1278" customFormat="1">
      <c r="A437" s="1949"/>
      <c r="B437" s="173" t="s">
        <v>1661</v>
      </c>
      <c r="C437" s="173" t="s">
        <v>1637</v>
      </c>
      <c r="D437" s="174">
        <v>1.30755616071467</v>
      </c>
      <c r="E437" s="204">
        <v>1.28811294642895</v>
      </c>
      <c r="F437" s="204">
        <v>1.7207244642862202E-3</v>
      </c>
      <c r="G437" s="204">
        <v>2.0512591071434601E-2</v>
      </c>
      <c r="H437" s="174">
        <v>1.2743556042853299</v>
      </c>
      <c r="I437" s="204">
        <v>1.2554060785710499</v>
      </c>
      <c r="J437" s="204">
        <v>1.6770330257137799E-3</v>
      </c>
      <c r="K437" s="204">
        <v>1.9991749628565401E-2</v>
      </c>
      <c r="L437" s="174">
        <v>1.2713257113501399</v>
      </c>
      <c r="M437" s="204">
        <v>1.2524212398059</v>
      </c>
      <c r="N437" s="205">
        <v>1.6730457316652401E-3</v>
      </c>
      <c r="O437" s="205">
        <v>1.9944217479173201E-2</v>
      </c>
      <c r="P437"/>
      <c r="Q437" s="182"/>
      <c r="R437" s="182"/>
      <c r="S437" s="182"/>
      <c r="T437" s="165"/>
      <c r="U437" s="165"/>
      <c r="V437" s="1285"/>
      <c r="X437"/>
      <c r="Y437"/>
      <c r="Z437"/>
      <c r="AA437"/>
      <c r="AB437"/>
      <c r="AC437"/>
      <c r="AD437"/>
      <c r="AE437"/>
      <c r="AF437"/>
      <c r="AG437"/>
      <c r="AH437"/>
      <c r="AI437"/>
      <c r="AJ437"/>
      <c r="AK437"/>
      <c r="AL437"/>
      <c r="AM437"/>
    </row>
    <row r="438" spans="1:39" s="1278" customFormat="1">
      <c r="A438" s="1949"/>
      <c r="B438" s="173" t="s">
        <v>1662</v>
      </c>
      <c r="C438" s="173" t="s">
        <v>1637</v>
      </c>
      <c r="D438" s="174">
        <v>1.4600215178559899</v>
      </c>
      <c r="E438" s="204">
        <v>1.43831116071315</v>
      </c>
      <c r="F438" s="204">
        <v>1.9213666071413399E-3</v>
      </c>
      <c r="G438" s="204">
        <v>2.2904426785696201E-2</v>
      </c>
      <c r="H438" s="174">
        <v>1.4229496671440101</v>
      </c>
      <c r="I438" s="204">
        <v>1.4017905642868498</v>
      </c>
      <c r="J438" s="204">
        <v>1.8725806028586601E-3</v>
      </c>
      <c r="K438" s="204">
        <v>2.2322853514303801E-2</v>
      </c>
      <c r="L438" s="174">
        <v>1.4195664787063997</v>
      </c>
      <c r="M438" s="204">
        <v>1.3984576834839999</v>
      </c>
      <c r="N438" s="205">
        <v>1.8681283771824E-3</v>
      </c>
      <c r="O438" s="205">
        <v>2.2269778959631999E-2</v>
      </c>
      <c r="P438"/>
      <c r="Q438" s="182"/>
      <c r="R438" s="182"/>
      <c r="S438" s="182"/>
      <c r="T438" s="165"/>
      <c r="U438" s="165"/>
      <c r="V438" s="1285"/>
      <c r="X438"/>
      <c r="Y438"/>
      <c r="Z438"/>
      <c r="AA438"/>
      <c r="AB438"/>
      <c r="AC438"/>
      <c r="AD438"/>
      <c r="AE438"/>
      <c r="AF438"/>
      <c r="AG438"/>
      <c r="AH438"/>
      <c r="AI438"/>
      <c r="AJ438"/>
      <c r="AK438"/>
      <c r="AL438"/>
      <c r="AM438"/>
    </row>
    <row r="439" spans="1:39" s="1278" customFormat="1">
      <c r="A439" s="1950"/>
      <c r="B439" s="173" t="s">
        <v>1663</v>
      </c>
      <c r="C439" s="173" t="s">
        <v>1637</v>
      </c>
      <c r="D439" s="174">
        <v>1.5381876339293399</v>
      </c>
      <c r="E439" s="204">
        <v>1.5153149553579</v>
      </c>
      <c r="F439" s="204">
        <v>2.0242320535724403E-3</v>
      </c>
      <c r="G439" s="204">
        <v>2.4130675892869199E-2</v>
      </c>
      <c r="H439" s="174">
        <v>1.4991310435706597</v>
      </c>
      <c r="I439" s="204">
        <v>1.4768391321420997</v>
      </c>
      <c r="J439" s="204">
        <v>1.9728341614275598E-3</v>
      </c>
      <c r="K439" s="204">
        <v>2.3517966557130801E-2</v>
      </c>
      <c r="L439" s="174">
        <v>1.49556672718684</v>
      </c>
      <c r="M439" s="204">
        <v>1.4733278167454</v>
      </c>
      <c r="N439" s="205">
        <v>1.9681435740674402E-3</v>
      </c>
      <c r="O439" s="205">
        <v>2.3462050515719205E-2</v>
      </c>
      <c r="P439"/>
      <c r="Q439" s="182"/>
      <c r="R439" s="182"/>
      <c r="S439" s="182"/>
      <c r="T439" s="165"/>
      <c r="U439" s="165"/>
      <c r="V439" s="1285"/>
      <c r="X439"/>
      <c r="Y439"/>
      <c r="Z439"/>
      <c r="AA439"/>
      <c r="AB439"/>
      <c r="AC439"/>
      <c r="AD439"/>
      <c r="AE439"/>
      <c r="AF439"/>
      <c r="AG439"/>
      <c r="AH439"/>
      <c r="AI439"/>
      <c r="AJ439"/>
      <c r="AK439"/>
      <c r="AL439"/>
      <c r="AM439"/>
    </row>
    <row r="440" spans="1:39" s="1278" customFormat="1">
      <c r="A440" s="1948" t="s">
        <v>1664</v>
      </c>
      <c r="B440" s="173" t="s">
        <v>1655</v>
      </c>
      <c r="C440" s="173" t="s">
        <v>1637</v>
      </c>
      <c r="D440" s="174">
        <v>0.35907714498844995</v>
      </c>
      <c r="E440" s="204">
        <v>0.35373770788824999</v>
      </c>
      <c r="F440" s="205">
        <v>4.7254018336770001E-4</v>
      </c>
      <c r="G440" s="204">
        <v>5.6331061407110007E-3</v>
      </c>
      <c r="H440" s="174">
        <v>0.34033824687412995</v>
      </c>
      <c r="I440" s="204">
        <v>0.33527745509904994</v>
      </c>
      <c r="J440" s="205">
        <v>4.4788007209458004E-4</v>
      </c>
      <c r="K440" s="205">
        <v>5.3391353227093992E-3</v>
      </c>
      <c r="L440" s="174">
        <v>0.33204021708591003</v>
      </c>
      <c r="M440" s="204">
        <v>0.32710281608835001</v>
      </c>
      <c r="N440" s="205">
        <v>4.3695998828406006E-4</v>
      </c>
      <c r="O440" s="205">
        <v>5.2089580524258003E-3</v>
      </c>
      <c r="P440"/>
      <c r="Q440" s="182"/>
      <c r="R440" s="182"/>
      <c r="S440" s="182"/>
      <c r="T440" s="165"/>
      <c r="U440" s="165"/>
      <c r="V440" s="1285"/>
      <c r="X440"/>
      <c r="Y440"/>
      <c r="Z440"/>
      <c r="AA440"/>
      <c r="AB440"/>
      <c r="AC440"/>
      <c r="AD440"/>
      <c r="AE440"/>
      <c r="AF440"/>
      <c r="AG440"/>
      <c r="AH440"/>
      <c r="AI440"/>
      <c r="AJ440"/>
      <c r="AK440"/>
      <c r="AL440"/>
      <c r="AM440"/>
    </row>
    <row r="441" spans="1:39" s="1278" customFormat="1">
      <c r="A441" s="1949"/>
      <c r="B441" s="173" t="s">
        <v>1656</v>
      </c>
      <c r="C441" s="173" t="s">
        <v>1637</v>
      </c>
      <c r="D441" s="174">
        <v>0.41138545682172001</v>
      </c>
      <c r="E441" s="204">
        <v>0.40526820095819999</v>
      </c>
      <c r="F441" s="205">
        <v>5.4137714392152E-4</v>
      </c>
      <c r="G441" s="204">
        <v>6.4537049360136002E-3</v>
      </c>
      <c r="H441" s="174">
        <v>0.38991678283948</v>
      </c>
      <c r="I441" s="204">
        <v>0.3841187637638</v>
      </c>
      <c r="J441" s="205">
        <v>5.1312468819768005E-4</v>
      </c>
      <c r="K441" s="205">
        <v>6.1169101248424E-3</v>
      </c>
      <c r="L441" s="174">
        <v>0.38040994336387002</v>
      </c>
      <c r="M441" s="204">
        <v>0.37475328993094997</v>
      </c>
      <c r="N441" s="205">
        <v>5.0061382881342003E-4</v>
      </c>
      <c r="O441" s="205">
        <v>5.9677693717305998E-3</v>
      </c>
      <c r="P441"/>
      <c r="Q441" s="182"/>
      <c r="R441" s="182"/>
      <c r="S441" s="182"/>
      <c r="T441" s="165"/>
      <c r="U441" s="165"/>
      <c r="V441" s="1285"/>
      <c r="X441"/>
      <c r="Y441"/>
      <c r="Z441"/>
      <c r="AA441"/>
      <c r="AB441"/>
      <c r="AC441"/>
      <c r="AD441"/>
      <c r="AE441"/>
      <c r="AF441"/>
      <c r="AG441"/>
      <c r="AH441"/>
      <c r="AI441"/>
      <c r="AJ441"/>
      <c r="AK441"/>
      <c r="AL441"/>
      <c r="AM441"/>
    </row>
    <row r="442" spans="1:39" s="1278" customFormat="1">
      <c r="A442" s="1949"/>
      <c r="B442" s="173" t="s">
        <v>1657</v>
      </c>
      <c r="C442" s="173" t="s">
        <v>1637</v>
      </c>
      <c r="D442" s="174">
        <v>0.50298210767578</v>
      </c>
      <c r="E442" s="204">
        <v>0.49550281982929995</v>
      </c>
      <c r="F442" s="205">
        <v>6.6191697441348005E-4</v>
      </c>
      <c r="G442" s="204">
        <v>7.8906486780363997E-3</v>
      </c>
      <c r="H442" s="174">
        <v>0.47673334581356003</v>
      </c>
      <c r="I442" s="204">
        <v>0.4696443741286</v>
      </c>
      <c r="J442" s="205">
        <v>6.2737399411895997E-4</v>
      </c>
      <c r="K442" s="205">
        <v>7.4788651276328014E-3</v>
      </c>
      <c r="L442" s="174">
        <v>0.46510976973356</v>
      </c>
      <c r="M442" s="204">
        <v>0.45819363932860002</v>
      </c>
      <c r="N442" s="205">
        <v>6.1207754083896003E-4</v>
      </c>
      <c r="O442" s="205">
        <v>7.2965175772328004E-3</v>
      </c>
      <c r="P442"/>
      <c r="Q442" s="182"/>
      <c r="R442" s="182"/>
      <c r="S442" s="182"/>
      <c r="T442" s="165"/>
      <c r="U442" s="165"/>
      <c r="V442" s="1285"/>
      <c r="X442"/>
      <c r="Y442"/>
      <c r="Z442"/>
      <c r="AA442"/>
      <c r="AB442"/>
      <c r="AC442"/>
      <c r="AD442"/>
      <c r="AE442"/>
      <c r="AF442"/>
      <c r="AG442"/>
      <c r="AH442"/>
      <c r="AI442"/>
      <c r="AJ442"/>
      <c r="AK442"/>
      <c r="AL442"/>
      <c r="AM442"/>
    </row>
    <row r="443" spans="1:39" s="1278" customFormat="1">
      <c r="A443" s="1949"/>
      <c r="B443" s="173" t="s">
        <v>1658</v>
      </c>
      <c r="C443" s="173" t="s">
        <v>1637</v>
      </c>
      <c r="D443" s="174">
        <v>0.59640612313477004</v>
      </c>
      <c r="E443" s="204">
        <v>0.58753763059745001</v>
      </c>
      <c r="F443" s="205">
        <v>7.8486158955282006E-4</v>
      </c>
      <c r="G443" s="204">
        <v>9.3562596268726012E-3</v>
      </c>
      <c r="H443" s="174">
        <v>0.56528191004385997</v>
      </c>
      <c r="I443" s="204">
        <v>0.5568762310841</v>
      </c>
      <c r="J443" s="205">
        <v>7.4390258793876002E-4</v>
      </c>
      <c r="K443" s="205">
        <v>8.8679913025468005E-3</v>
      </c>
      <c r="L443" s="174">
        <v>0.55149936819809997</v>
      </c>
      <c r="M443" s="204">
        <v>0.54329863409849999</v>
      </c>
      <c r="N443" s="205">
        <v>7.257649678146E-4</v>
      </c>
      <c r="O443" s="205">
        <v>8.6517744750780005E-3</v>
      </c>
      <c r="P443"/>
      <c r="Q443" s="182"/>
      <c r="R443" s="182"/>
      <c r="S443" s="182"/>
      <c r="T443" s="165"/>
      <c r="U443" s="165"/>
      <c r="V443" s="1285"/>
      <c r="X443"/>
      <c r="Y443"/>
      <c r="Z443"/>
      <c r="AA443"/>
      <c r="AB443"/>
      <c r="AC443"/>
      <c r="AD443"/>
      <c r="AE443"/>
      <c r="AF443"/>
      <c r="AG443"/>
      <c r="AH443"/>
      <c r="AI443"/>
      <c r="AJ443"/>
      <c r="AK443"/>
      <c r="AL443"/>
      <c r="AM443"/>
    </row>
    <row r="444" spans="1:39" s="1278" customFormat="1">
      <c r="A444" s="1949"/>
      <c r="B444" s="173" t="s">
        <v>1659</v>
      </c>
      <c r="C444" s="173" t="s">
        <v>1637</v>
      </c>
      <c r="D444" s="174">
        <v>0.67772384807970998</v>
      </c>
      <c r="E444" s="204">
        <v>0.66764617004134985</v>
      </c>
      <c r="F444" s="205">
        <v>8.9187450639486004E-4</v>
      </c>
      <c r="G444" s="204">
        <v>1.0631950330469798E-2</v>
      </c>
      <c r="H444" s="174">
        <v>0.64235596595372002</v>
      </c>
      <c r="I444" s="204">
        <v>0.63280420437819995</v>
      </c>
      <c r="J444" s="205">
        <v>8.4533089943352E-4</v>
      </c>
      <c r="K444" s="205">
        <v>1.0077108462173601E-2</v>
      </c>
      <c r="L444" s="174">
        <v>0.6266942265198</v>
      </c>
      <c r="M444" s="204">
        <v>0.61737535326300008</v>
      </c>
      <c r="N444" s="205">
        <v>8.2472028322680012E-4</v>
      </c>
      <c r="O444" s="205">
        <v>9.8314112859240015E-3</v>
      </c>
      <c r="P444"/>
      <c r="Q444" s="182"/>
      <c r="R444" s="182"/>
      <c r="S444" s="182"/>
      <c r="T444" s="165"/>
      <c r="U444" s="165"/>
      <c r="V444" s="1285"/>
      <c r="X444"/>
      <c r="Y444"/>
      <c r="Z444"/>
      <c r="AA444"/>
      <c r="AB444"/>
      <c r="AC444"/>
      <c r="AD444"/>
      <c r="AE444"/>
      <c r="AF444"/>
      <c r="AG444"/>
      <c r="AH444"/>
      <c r="AI444"/>
      <c r="AJ444"/>
      <c r="AK444"/>
      <c r="AL444"/>
      <c r="AM444"/>
    </row>
    <row r="445" spans="1:39" s="1278" customFormat="1">
      <c r="A445" s="1949"/>
      <c r="B445" s="173" t="s">
        <v>1660</v>
      </c>
      <c r="C445" s="173" t="s">
        <v>1637</v>
      </c>
      <c r="D445" s="174">
        <v>0.89275269137707991</v>
      </c>
      <c r="E445" s="204">
        <v>0.8794775584197998</v>
      </c>
      <c r="F445" s="205">
        <v>1.1748492667192801E-3</v>
      </c>
      <c r="G445" s="204">
        <v>1.40052652699304E-2</v>
      </c>
      <c r="H445" s="174">
        <v>0.87008453608406999</v>
      </c>
      <c r="I445" s="204">
        <v>0.85714647606795002</v>
      </c>
      <c r="J445" s="205">
        <v>1.14501831142662E-3</v>
      </c>
      <c r="K445" s="205">
        <v>1.3649653317006601E-2</v>
      </c>
      <c r="L445" s="174">
        <v>0.86801583329790011</v>
      </c>
      <c r="M445" s="204">
        <v>0.85510853466149994</v>
      </c>
      <c r="N445" s="205">
        <v>1.1422959293214E-3</v>
      </c>
      <c r="O445" s="205">
        <v>1.3617200061402001E-2</v>
      </c>
      <c r="P445"/>
      <c r="Q445" s="182"/>
      <c r="R445" s="182"/>
      <c r="S445" s="182"/>
      <c r="T445" s="165"/>
      <c r="U445" s="165"/>
      <c r="V445" s="1285"/>
      <c r="X445"/>
      <c r="Y445"/>
      <c r="Z445"/>
      <c r="AA445"/>
      <c r="AB445"/>
      <c r="AC445"/>
      <c r="AD445"/>
      <c r="AE445"/>
      <c r="AF445"/>
      <c r="AG445"/>
      <c r="AH445"/>
      <c r="AI445"/>
      <c r="AJ445"/>
      <c r="AK445"/>
      <c r="AL445"/>
      <c r="AM445"/>
    </row>
    <row r="446" spans="1:39" s="1278" customFormat="1">
      <c r="A446" s="1949"/>
      <c r="B446" s="173" t="s">
        <v>1661</v>
      </c>
      <c r="C446" s="173" t="s">
        <v>1637</v>
      </c>
      <c r="D446" s="174">
        <v>1.18849584954442</v>
      </c>
      <c r="E446" s="204">
        <v>1.1708230488077001</v>
      </c>
      <c r="F446" s="205">
        <v>1.5640428651997201E-3</v>
      </c>
      <c r="G446" s="204">
        <v>1.86448047772396E-2</v>
      </c>
      <c r="H446" s="174">
        <v>1.15831838971416</v>
      </c>
      <c r="I446" s="204">
        <v>1.1410943244395999</v>
      </c>
      <c r="J446" s="205">
        <v>1.52432977679856E-3</v>
      </c>
      <c r="K446" s="205">
        <v>1.8171388864660801E-2</v>
      </c>
      <c r="L446" s="174">
        <v>1.1555643854977498</v>
      </c>
      <c r="M446" s="204">
        <v>1.1383812719587498</v>
      </c>
      <c r="N446" s="205">
        <v>1.5207055482015001E-3</v>
      </c>
      <c r="O446" s="205">
        <v>1.8128184783644998E-2</v>
      </c>
      <c r="P446"/>
      <c r="Q446" s="182"/>
      <c r="R446" s="182"/>
      <c r="S446" s="182"/>
      <c r="T446" s="165"/>
      <c r="U446" s="165"/>
      <c r="V446" s="1285"/>
      <c r="X446"/>
      <c r="Y446"/>
      <c r="Z446"/>
      <c r="AA446"/>
      <c r="AB446"/>
      <c r="AC446"/>
      <c r="AD446"/>
      <c r="AE446"/>
      <c r="AF446"/>
      <c r="AG446"/>
      <c r="AH446"/>
      <c r="AI446"/>
      <c r="AJ446"/>
      <c r="AK446"/>
      <c r="AL446"/>
      <c r="AM446"/>
    </row>
    <row r="447" spans="1:39" s="1278" customFormat="1">
      <c r="A447" s="1949"/>
      <c r="B447" s="173" t="s">
        <v>1662</v>
      </c>
      <c r="C447" s="173" t="s">
        <v>1637</v>
      </c>
      <c r="D447" s="174">
        <v>1.3723576097077699</v>
      </c>
      <c r="E447" s="204">
        <v>1.35195080510245</v>
      </c>
      <c r="F447" s="205">
        <v>1.80600220757082E-3</v>
      </c>
      <c r="G447" s="204">
        <v>2.1529178858612597E-2</v>
      </c>
      <c r="H447" s="174">
        <v>1.3375116599669901</v>
      </c>
      <c r="I447" s="204">
        <v>1.3176230107481501</v>
      </c>
      <c r="J447" s="205">
        <v>1.7601454558673403E-3</v>
      </c>
      <c r="K447" s="205">
        <v>2.0982524925876201E-2</v>
      </c>
      <c r="L447" s="174">
        <v>1.33433160793117</v>
      </c>
      <c r="M447" s="204">
        <v>1.31449024573145</v>
      </c>
      <c r="N447" s="205">
        <v>1.7559605546752202E-3</v>
      </c>
      <c r="O447" s="205">
        <v>2.0932637120704603E-2</v>
      </c>
      <c r="P447"/>
      <c r="Q447" s="182"/>
      <c r="R447" s="182"/>
      <c r="S447" s="182"/>
      <c r="T447" s="165"/>
      <c r="U447" s="165"/>
      <c r="V447" s="1285"/>
      <c r="X447"/>
      <c r="Y447"/>
      <c r="Z447"/>
      <c r="AA447"/>
      <c r="AB447"/>
      <c r="AC447"/>
      <c r="AD447"/>
      <c r="AE447"/>
      <c r="AF447"/>
      <c r="AG447"/>
      <c r="AH447"/>
      <c r="AI447"/>
      <c r="AJ447"/>
      <c r="AK447"/>
      <c r="AL447"/>
      <c r="AM447"/>
    </row>
    <row r="448" spans="1:39" s="1278" customFormat="1">
      <c r="A448" s="1950"/>
      <c r="B448" s="173" t="s">
        <v>1663</v>
      </c>
      <c r="C448" s="173" t="s">
        <v>1637</v>
      </c>
      <c r="D448" s="174">
        <v>1.4458304064442999</v>
      </c>
      <c r="E448" s="204">
        <v>1.4243310695455</v>
      </c>
      <c r="F448" s="205">
        <v>1.9026913155438E-3</v>
      </c>
      <c r="G448" s="204">
        <v>2.2681800428233999E-2</v>
      </c>
      <c r="H448" s="174">
        <v>1.40911888655852</v>
      </c>
      <c r="I448" s="204">
        <v>1.3881654458662001</v>
      </c>
      <c r="J448" s="205">
        <v>1.8543795012703201E-3</v>
      </c>
      <c r="K448" s="205">
        <v>2.2105879930397601E-2</v>
      </c>
      <c r="L448" s="174">
        <v>1.40576858202322</v>
      </c>
      <c r="M448" s="204">
        <v>1.3848649599857001</v>
      </c>
      <c r="N448" s="205">
        <v>1.8499705503205203E-3</v>
      </c>
      <c r="O448" s="205">
        <v>2.2053321249583601E-2</v>
      </c>
      <c r="P448"/>
      <c r="Q448" s="182"/>
      <c r="R448" s="182"/>
      <c r="S448" s="182"/>
      <c r="T448" s="165"/>
      <c r="U448" s="165"/>
      <c r="V448" s="1285"/>
      <c r="X448"/>
      <c r="Y448"/>
      <c r="Z448"/>
      <c r="AA448"/>
      <c r="AB448"/>
      <c r="AC448"/>
      <c r="AD448"/>
      <c r="AE448"/>
      <c r="AF448"/>
      <c r="AG448"/>
      <c r="AH448"/>
      <c r="AI448"/>
      <c r="AJ448"/>
      <c r="AK448"/>
      <c r="AL448"/>
      <c r="AM448"/>
    </row>
    <row r="449" spans="1:39" s="1278" customFormat="1">
      <c r="A449" s="1953" t="s">
        <v>1665</v>
      </c>
      <c r="B449" s="173" t="s">
        <v>1655</v>
      </c>
      <c r="C449" s="173" t="s">
        <v>1637</v>
      </c>
      <c r="D449" s="206" t="s">
        <v>1666</v>
      </c>
      <c r="E449" s="206" t="s">
        <v>1666</v>
      </c>
      <c r="F449" s="207" t="s">
        <v>1666</v>
      </c>
      <c r="G449" s="207" t="s">
        <v>1666</v>
      </c>
      <c r="H449" s="174">
        <v>4.5007423561774999E-2</v>
      </c>
      <c r="I449" s="204">
        <v>4.3225109465438283E-2</v>
      </c>
      <c r="J449" s="204">
        <v>1.7205553626571119E-3</v>
      </c>
      <c r="K449" s="205">
        <v>6.1758733679591338E-5</v>
      </c>
      <c r="L449" s="174">
        <v>4.4026561579084536E-2</v>
      </c>
      <c r="M449" s="204">
        <v>4.2283090055816028E-2</v>
      </c>
      <c r="N449" s="204">
        <v>1.6830587185306556E-3</v>
      </c>
      <c r="O449" s="205">
        <v>6.0412804737840842E-5</v>
      </c>
      <c r="P449"/>
      <c r="Q449" s="208"/>
      <c r="R449" s="182"/>
      <c r="S449" s="182"/>
      <c r="T449" s="165"/>
      <c r="U449" s="165"/>
      <c r="V449" s="1285"/>
      <c r="X449"/>
      <c r="Y449"/>
      <c r="Z449"/>
      <c r="AA449"/>
      <c r="AB449"/>
      <c r="AC449"/>
      <c r="AD449"/>
      <c r="AE449"/>
      <c r="AF449"/>
      <c r="AG449"/>
      <c r="AH449"/>
      <c r="AI449"/>
      <c r="AJ449"/>
      <c r="AK449"/>
      <c r="AL449"/>
      <c r="AM449"/>
    </row>
    <row r="450" spans="1:39" s="1278" customFormat="1">
      <c r="A450" s="1949"/>
      <c r="B450" s="173" t="s">
        <v>1656</v>
      </c>
      <c r="C450" s="173" t="s">
        <v>1637</v>
      </c>
      <c r="D450" s="206" t="s">
        <v>1666</v>
      </c>
      <c r="E450" s="206" t="s">
        <v>1666</v>
      </c>
      <c r="F450" s="207" t="s">
        <v>1666</v>
      </c>
      <c r="G450" s="207" t="s">
        <v>1666</v>
      </c>
      <c r="H450" s="174">
        <v>5.1563848495327844E-2</v>
      </c>
      <c r="I450" s="204">
        <v>4.9521897040176191E-2</v>
      </c>
      <c r="J450" s="204">
        <v>1.971196061158767E-3</v>
      </c>
      <c r="K450" s="205">
        <v>7.0755393992878398E-5</v>
      </c>
      <c r="L450" s="174">
        <v>5.044010012964837E-2</v>
      </c>
      <c r="M450" s="204">
        <v>4.8442649612217288E-2</v>
      </c>
      <c r="N450" s="204">
        <v>1.9282371196367493E-3</v>
      </c>
      <c r="O450" s="205">
        <v>6.9213397794326453E-5</v>
      </c>
      <c r="P450"/>
      <c r="Q450" s="208"/>
      <c r="R450" s="182"/>
      <c r="S450" s="182"/>
      <c r="T450" s="165"/>
      <c r="U450" s="165"/>
      <c r="V450" s="1285"/>
      <c r="X450"/>
      <c r="Y450"/>
      <c r="Z450"/>
      <c r="AA450"/>
      <c r="AB450"/>
      <c r="AC450"/>
      <c r="AD450"/>
      <c r="AE450"/>
      <c r="AF450"/>
      <c r="AG450"/>
      <c r="AH450"/>
      <c r="AI450"/>
      <c r="AJ450"/>
      <c r="AK450"/>
      <c r="AL450"/>
      <c r="AM450"/>
    </row>
    <row r="451" spans="1:39" s="1278" customFormat="1">
      <c r="A451" s="1949"/>
      <c r="B451" s="173" t="s">
        <v>1657</v>
      </c>
      <c r="C451" s="173" t="s">
        <v>1637</v>
      </c>
      <c r="D451" s="206" t="s">
        <v>1666</v>
      </c>
      <c r="E451" s="206" t="s">
        <v>1666</v>
      </c>
      <c r="F451" s="207" t="s">
        <v>1666</v>
      </c>
      <c r="G451" s="207" t="s">
        <v>1666</v>
      </c>
      <c r="H451" s="174">
        <v>6.3044749798369645E-2</v>
      </c>
      <c r="I451" s="204">
        <v>6.0548149518386322E-2</v>
      </c>
      <c r="J451" s="204">
        <v>2.4100909087603601E-3</v>
      </c>
      <c r="K451" s="205">
        <v>8.6509371222946461E-5</v>
      </c>
      <c r="L451" s="174">
        <v>6.1670794272894548E-2</v>
      </c>
      <c r="M451" s="204">
        <v>5.9228603246029944E-2</v>
      </c>
      <c r="N451" s="204">
        <v>2.3575669835869078E-3</v>
      </c>
      <c r="O451" s="205">
        <v>8.4624043277680872E-5</v>
      </c>
      <c r="P451"/>
      <c r="Q451" s="208"/>
      <c r="R451" s="182"/>
      <c r="S451" s="182"/>
      <c r="T451" s="165"/>
      <c r="U451" s="165"/>
      <c r="V451" s="1285"/>
      <c r="X451"/>
      <c r="Y451"/>
      <c r="Z451"/>
      <c r="AA451"/>
      <c r="AB451"/>
      <c r="AC451"/>
      <c r="AD451"/>
      <c r="AE451"/>
      <c r="AF451"/>
      <c r="AG451"/>
      <c r="AH451"/>
      <c r="AI451"/>
      <c r="AJ451"/>
      <c r="AK451"/>
      <c r="AL451"/>
      <c r="AM451"/>
    </row>
    <row r="452" spans="1:39" s="1278" customFormat="1">
      <c r="A452" s="1949"/>
      <c r="B452" s="173" t="s">
        <v>1658</v>
      </c>
      <c r="C452" s="173" t="s">
        <v>1637</v>
      </c>
      <c r="D452" s="206" t="s">
        <v>1666</v>
      </c>
      <c r="E452" s="206" t="s">
        <v>1666</v>
      </c>
      <c r="F452" s="207" t="s">
        <v>1666</v>
      </c>
      <c r="G452" s="207" t="s">
        <v>1666</v>
      </c>
      <c r="H452" s="174">
        <v>7.4754696513806659E-2</v>
      </c>
      <c r="I452" s="204">
        <v>7.1794377108252233E-2</v>
      </c>
      <c r="J452" s="204">
        <v>2.8577417632915146E-3</v>
      </c>
      <c r="K452" s="205">
        <v>1.025776422629064E-4</v>
      </c>
      <c r="L452" s="174">
        <v>8.3095933972629613E-2</v>
      </c>
      <c r="M452" s="204">
        <v>7.9805297834251179E-2</v>
      </c>
      <c r="N452" s="204">
        <v>3.17661273401651E-3</v>
      </c>
      <c r="O452" s="205">
        <v>1.140234043619214E-4</v>
      </c>
      <c r="P452"/>
      <c r="Q452" s="208"/>
      <c r="R452" s="182"/>
      <c r="S452" s="182"/>
      <c r="T452" s="165"/>
      <c r="U452" s="165"/>
      <c r="V452" s="1285"/>
      <c r="X452"/>
      <c r="Y452"/>
      <c r="Z452"/>
      <c r="AA452"/>
      <c r="AB452"/>
      <c r="AC452"/>
      <c r="AD452"/>
      <c r="AE452"/>
      <c r="AF452"/>
      <c r="AG452"/>
      <c r="AH452"/>
      <c r="AI452"/>
      <c r="AJ452"/>
      <c r="AK452"/>
      <c r="AL452"/>
      <c r="AM452"/>
    </row>
    <row r="453" spans="1:39" s="1278" customFormat="1">
      <c r="A453" s="1954"/>
      <c r="B453" s="173" t="s">
        <v>1659</v>
      </c>
      <c r="C453" s="173" t="s">
        <v>1637</v>
      </c>
      <c r="D453" s="206" t="s">
        <v>1666</v>
      </c>
      <c r="E453" s="206" t="s">
        <v>1666</v>
      </c>
      <c r="F453" s="207" t="s">
        <v>1666</v>
      </c>
      <c r="G453" s="207" t="s">
        <v>1666</v>
      </c>
      <c r="H453" s="174">
        <v>8.4947217371326697E-2</v>
      </c>
      <c r="I453" s="204">
        <v>8.1583269582631651E-2</v>
      </c>
      <c r="J453" s="204">
        <v>3.2473840718837944E-3</v>
      </c>
      <c r="K453" s="205">
        <v>1.1656371681123664E-4</v>
      </c>
      <c r="L453" s="174">
        <v>8.3095933972629613E-2</v>
      </c>
      <c r="M453" s="204">
        <v>7.9805297834251179E-2</v>
      </c>
      <c r="N453" s="204">
        <v>3.17661273401651E-3</v>
      </c>
      <c r="O453" s="205">
        <v>1.140234043619214E-4</v>
      </c>
      <c r="P453"/>
      <c r="Q453" s="208"/>
      <c r="R453"/>
      <c r="S453"/>
      <c r="T453"/>
      <c r="U453"/>
      <c r="X453"/>
      <c r="Y453"/>
      <c r="Z453"/>
      <c r="AA453"/>
      <c r="AB453"/>
      <c r="AC453"/>
      <c r="AD453"/>
      <c r="AE453"/>
      <c r="AF453"/>
      <c r="AG453"/>
      <c r="AH453"/>
      <c r="AI453"/>
      <c r="AJ453"/>
      <c r="AK453"/>
      <c r="AL453"/>
      <c r="AM453"/>
    </row>
    <row r="454" spans="1:39">
      <c r="A454" s="209"/>
    </row>
    <row r="455" spans="1:39">
      <c r="A455" s="197" t="s">
        <v>1649</v>
      </c>
      <c r="B455" s="198"/>
      <c r="C455" s="198"/>
      <c r="D455" s="198"/>
      <c r="E455" s="198"/>
      <c r="F455" s="198"/>
      <c r="G455" s="198"/>
    </row>
    <row r="456" spans="1:39" ht="24" customHeight="1">
      <c r="A456" s="1923"/>
      <c r="B456" s="1924"/>
      <c r="C456" s="1924"/>
      <c r="D456" s="1925" t="s">
        <v>1667</v>
      </c>
      <c r="E456" s="1925"/>
      <c r="F456" s="1925"/>
      <c r="G456" s="1925"/>
    </row>
    <row r="457" spans="1:39" ht="18">
      <c r="A457" s="1944" t="s">
        <v>1613</v>
      </c>
      <c r="B457" s="1945"/>
      <c r="C457" s="199" t="s">
        <v>1340</v>
      </c>
      <c r="D457" s="171" t="s">
        <v>1614</v>
      </c>
      <c r="E457" s="172" t="s">
        <v>1615</v>
      </c>
      <c r="F457" s="172" t="s">
        <v>1616</v>
      </c>
      <c r="G457" s="172" t="s">
        <v>1617</v>
      </c>
    </row>
    <row r="458" spans="1:39">
      <c r="A458" s="1941" t="s">
        <v>1668</v>
      </c>
      <c r="B458" s="1941"/>
      <c r="C458" s="200" t="s">
        <v>1637</v>
      </c>
      <c r="D458" s="201">
        <v>0.48012534078942309</v>
      </c>
      <c r="E458" s="181">
        <v>0.47197564185485669</v>
      </c>
      <c r="F458" s="181">
        <v>6.3078165128223221E-4</v>
      </c>
      <c r="G458" s="181">
        <v>7.5189172832842077E-3</v>
      </c>
      <c r="H458" s="196"/>
      <c r="I458" s="196"/>
      <c r="J458" s="196"/>
      <c r="K458" s="196"/>
      <c r="L458" s="196"/>
      <c r="M458" s="196"/>
      <c r="N458" s="196"/>
      <c r="O458" s="196"/>
      <c r="Q458" s="182"/>
    </row>
    <row r="459" spans="1:39">
      <c r="A459" s="1941" t="s">
        <v>1669</v>
      </c>
      <c r="B459" s="1941"/>
      <c r="C459" s="200" t="s">
        <v>1637</v>
      </c>
      <c r="D459" s="201">
        <v>0.38696669257655009</v>
      </c>
      <c r="E459" s="181">
        <v>0.38039827850988461</v>
      </c>
      <c r="F459" s="184">
        <v>5.0839118163045608E-4</v>
      </c>
      <c r="G459" s="181">
        <v>6.0600228850350357E-3</v>
      </c>
      <c r="H459" s="196"/>
      <c r="I459" s="196"/>
      <c r="J459" s="196"/>
      <c r="K459" s="196"/>
      <c r="L459" s="196"/>
      <c r="M459" s="196"/>
      <c r="N459" s="196"/>
      <c r="O459" s="196"/>
      <c r="Q459" s="182"/>
    </row>
    <row r="460" spans="1:39" ht="15" customHeight="1">
      <c r="A460" s="209"/>
    </row>
    <row r="462" spans="1:39">
      <c r="A462" s="197" t="s">
        <v>1670</v>
      </c>
      <c r="B462" s="198"/>
      <c r="C462" s="198"/>
      <c r="D462" s="1815" t="s">
        <v>1671</v>
      </c>
      <c r="E462" s="1816"/>
      <c r="F462" s="1816"/>
      <c r="G462" s="1817"/>
      <c r="H462" s="1815" t="s">
        <v>1672</v>
      </c>
      <c r="I462" s="1816"/>
      <c r="J462" s="1816"/>
      <c r="K462" s="1817"/>
      <c r="L462" s="198"/>
      <c r="M462" s="210"/>
    </row>
    <row r="463" spans="1:39" ht="18">
      <c r="A463" s="1810" t="s">
        <v>1613</v>
      </c>
      <c r="B463" s="1837"/>
      <c r="C463" s="170" t="s">
        <v>1340</v>
      </c>
      <c r="D463" s="171" t="s">
        <v>1614</v>
      </c>
      <c r="E463" s="172" t="s">
        <v>1615</v>
      </c>
      <c r="F463" s="172" t="s">
        <v>1616</v>
      </c>
      <c r="G463" s="172" t="s">
        <v>1617</v>
      </c>
      <c r="H463" s="171" t="s">
        <v>1614</v>
      </c>
      <c r="I463" s="172" t="s">
        <v>1615</v>
      </c>
      <c r="J463" s="172" t="s">
        <v>1616</v>
      </c>
      <c r="K463" s="172" t="s">
        <v>1617</v>
      </c>
      <c r="L463" s="170" t="s">
        <v>1618</v>
      </c>
      <c r="M463" s="604" t="s">
        <v>1619</v>
      </c>
      <c r="R463" s="182"/>
      <c r="S463" s="165"/>
      <c r="T463" s="165"/>
    </row>
    <row r="464" spans="1:39" ht="15" customHeight="1">
      <c r="A464" s="1833" t="s">
        <v>1673</v>
      </c>
      <c r="B464" s="173" t="s">
        <v>1056</v>
      </c>
      <c r="C464" s="173" t="s">
        <v>1621</v>
      </c>
      <c r="D464" s="174">
        <v>4.4936299999999996</v>
      </c>
      <c r="E464" s="175">
        <v>4.4694900000000004</v>
      </c>
      <c r="F464" s="176">
        <v>1.8799999999999999E-3</v>
      </c>
      <c r="G464" s="175">
        <v>2.2259999999999999E-2</v>
      </c>
      <c r="H464" s="174">
        <v>2.3765000000000001</v>
      </c>
      <c r="I464" s="175">
        <v>2.35236</v>
      </c>
      <c r="J464" s="176">
        <v>1.8799999999999999E-3</v>
      </c>
      <c r="K464" s="175">
        <v>2.2259999999999999E-2</v>
      </c>
      <c r="L464" s="578" t="s">
        <v>1675</v>
      </c>
      <c r="M464" s="1958" t="s">
        <v>1676</v>
      </c>
      <c r="Q464" s="182"/>
      <c r="R464" s="182"/>
      <c r="S464" s="165"/>
      <c r="T464" s="165"/>
    </row>
    <row r="465" spans="1:29" ht="15" customHeight="1">
      <c r="A465" s="1833"/>
      <c r="B465" s="173" t="s">
        <v>1677</v>
      </c>
      <c r="C465" s="173" t="s">
        <v>1621</v>
      </c>
      <c r="D465" s="174">
        <v>2.3022900000000002</v>
      </c>
      <c r="E465" s="175">
        <v>2.2907999999999999</v>
      </c>
      <c r="F465" s="176">
        <v>8.0000000000000007E-5</v>
      </c>
      <c r="G465" s="175">
        <v>1.141E-2</v>
      </c>
      <c r="H465" s="174">
        <v>1.2171700000000001</v>
      </c>
      <c r="I465" s="175">
        <v>1.2056800000000001</v>
      </c>
      <c r="J465" s="176">
        <v>8.0000000000000007E-5</v>
      </c>
      <c r="K465" s="175">
        <v>1.141E-2</v>
      </c>
      <c r="L465" s="578" t="s">
        <v>1675</v>
      </c>
      <c r="M465" s="1959"/>
      <c r="Q465" s="182"/>
      <c r="R465" s="182"/>
      <c r="S465" s="165"/>
      <c r="T465" s="165"/>
    </row>
    <row r="466" spans="1:29">
      <c r="A466" s="1833"/>
      <c r="B466" s="173" t="s">
        <v>1678</v>
      </c>
      <c r="C466" s="173" t="s">
        <v>1621</v>
      </c>
      <c r="D466" s="174">
        <v>1.0188999999999999</v>
      </c>
      <c r="E466" s="175">
        <v>1.0138100000000001</v>
      </c>
      <c r="F466" s="191">
        <v>4.0000000000000003E-5</v>
      </c>
      <c r="G466" s="175">
        <v>5.0499999999999998E-3</v>
      </c>
      <c r="H466" s="174">
        <v>0.53866999999999998</v>
      </c>
      <c r="I466" s="175">
        <v>0.53358000000000005</v>
      </c>
      <c r="J466" s="176">
        <v>4.0000000000000003E-5</v>
      </c>
      <c r="K466" s="175">
        <v>5.0499999999999998E-3</v>
      </c>
      <c r="L466" s="578" t="s">
        <v>1675</v>
      </c>
      <c r="M466" s="1960"/>
      <c r="Q466" s="182"/>
    </row>
    <row r="468" spans="1:29">
      <c r="A468" s="1981" t="s">
        <v>1679</v>
      </c>
      <c r="B468" s="1981"/>
      <c r="C468" s="1981"/>
      <c r="D468" s="1981"/>
      <c r="E468" s="1981"/>
      <c r="F468" s="1981"/>
      <c r="G468" s="1981"/>
      <c r="H468" s="1981"/>
      <c r="I468" s="1981"/>
      <c r="J468" s="1981"/>
      <c r="K468" s="1981"/>
    </row>
    <row r="469" spans="1:29" ht="18">
      <c r="A469" s="1810" t="s">
        <v>1613</v>
      </c>
      <c r="B469" s="1837"/>
      <c r="C469" s="170" t="s">
        <v>1340</v>
      </c>
      <c r="D469" s="171" t="s">
        <v>1614</v>
      </c>
      <c r="E469" s="172" t="s">
        <v>1615</v>
      </c>
      <c r="F469" s="172" t="s">
        <v>1616</v>
      </c>
      <c r="G469" s="172" t="s">
        <v>1617</v>
      </c>
      <c r="H469" s="170" t="s">
        <v>1618</v>
      </c>
      <c r="I469" s="1838" t="s">
        <v>1619</v>
      </c>
      <c r="J469" s="1839"/>
      <c r="K469" s="1839"/>
      <c r="R469" s="165"/>
    </row>
    <row r="470" spans="1:29" s="80" customFormat="1">
      <c r="A470" s="1840" t="s">
        <v>1680</v>
      </c>
      <c r="B470" s="173" t="s">
        <v>1681</v>
      </c>
      <c r="C470" s="173" t="s">
        <v>1621</v>
      </c>
      <c r="D470" s="174">
        <v>1.6E-2</v>
      </c>
      <c r="E470" s="175">
        <v>1.5842310306041413E-2</v>
      </c>
      <c r="F470" s="191">
        <v>3.579208358333696E-5</v>
      </c>
      <c r="G470" s="176">
        <v>1.2189761037525044E-4</v>
      </c>
      <c r="H470" s="577" t="s">
        <v>1682</v>
      </c>
      <c r="I470" s="1961" t="s">
        <v>1683</v>
      </c>
      <c r="J470" s="1962"/>
      <c r="K470" s="1963"/>
      <c r="L470"/>
      <c r="M470"/>
      <c r="N470"/>
      <c r="O470"/>
      <c r="P470"/>
      <c r="Q470"/>
      <c r="R470" s="648"/>
      <c r="V470" s="1278"/>
      <c r="W470" s="1278"/>
      <c r="Z470"/>
      <c r="AA470"/>
      <c r="AB470"/>
      <c r="AC470"/>
    </row>
    <row r="471" spans="1:29">
      <c r="A471" s="1841"/>
      <c r="B471" s="643" t="s">
        <v>1684</v>
      </c>
      <c r="C471" s="643" t="s">
        <v>1621</v>
      </c>
      <c r="D471" s="644">
        <v>0.03</v>
      </c>
      <c r="E471" s="644">
        <v>2.9704331823827645E-2</v>
      </c>
      <c r="F471" s="645">
        <v>6.7110156718756787E-5</v>
      </c>
      <c r="G471" s="646">
        <v>2.2855801945359454E-4</v>
      </c>
      <c r="H471" s="647" t="s">
        <v>1682</v>
      </c>
      <c r="I471" s="1964"/>
      <c r="J471" s="1965"/>
      <c r="K471" s="1966"/>
      <c r="L471" s="80"/>
      <c r="M471" s="80"/>
      <c r="N471" s="80"/>
      <c r="O471" s="80"/>
      <c r="P471" s="80"/>
      <c r="Q471" s="80"/>
      <c r="R471" s="165"/>
    </row>
    <row r="472" spans="1:29">
      <c r="A472" s="1841"/>
      <c r="B472" s="173" t="s">
        <v>1685</v>
      </c>
      <c r="C472" s="173" t="s">
        <v>1621</v>
      </c>
      <c r="D472" s="174">
        <v>4.5999999999999999E-2</v>
      </c>
      <c r="E472" s="175">
        <v>4.5546642129869058E-2</v>
      </c>
      <c r="F472" s="176">
        <v>1.0290224030209375E-4</v>
      </c>
      <c r="G472" s="176">
        <v>3.5045562982884501E-4</v>
      </c>
      <c r="H472" s="577" t="s">
        <v>1682</v>
      </c>
      <c r="I472" s="1967"/>
      <c r="J472" s="1968"/>
      <c r="K472" s="1969"/>
    </row>
    <row r="474" spans="1:29">
      <c r="A474" s="1834" t="s">
        <v>1686</v>
      </c>
      <c r="B474" s="1835"/>
      <c r="C474" s="1835"/>
      <c r="D474" s="1835"/>
      <c r="E474" s="1835"/>
      <c r="F474" s="1835"/>
      <c r="G474" s="1835"/>
      <c r="H474" s="1835"/>
      <c r="I474" s="1835"/>
      <c r="J474" s="1835"/>
      <c r="K474" s="1835"/>
      <c r="L474" s="1835"/>
      <c r="M474" s="1836"/>
    </row>
    <row r="475" spans="1:29" ht="15" customHeight="1">
      <c r="A475" s="1810" t="s">
        <v>1613</v>
      </c>
      <c r="B475" s="1837"/>
      <c r="C475" s="170" t="s">
        <v>1340</v>
      </c>
      <c r="D475" s="171" t="s">
        <v>1614</v>
      </c>
      <c r="E475" s="172" t="s">
        <v>1615</v>
      </c>
      <c r="F475" s="172" t="s">
        <v>1616</v>
      </c>
      <c r="G475" s="172" t="s">
        <v>1617</v>
      </c>
      <c r="H475" s="170" t="s">
        <v>1618</v>
      </c>
      <c r="I475" s="1838" t="s">
        <v>1619</v>
      </c>
      <c r="J475" s="1839"/>
      <c r="K475" s="1839"/>
      <c r="L475" s="1839"/>
      <c r="M475" s="1839"/>
      <c r="R475" s="165"/>
    </row>
    <row r="476" spans="1:29" ht="15" customHeight="1">
      <c r="A476" s="1833" t="s">
        <v>1687</v>
      </c>
      <c r="B476" s="173" t="s">
        <v>1688</v>
      </c>
      <c r="C476" s="173" t="s">
        <v>1621</v>
      </c>
      <c r="D476" s="174">
        <v>2.5400000000000002E-3</v>
      </c>
      <c r="E476" s="175">
        <v>2.5000000000000001E-3</v>
      </c>
      <c r="F476" s="211">
        <v>0</v>
      </c>
      <c r="G476" s="191">
        <v>3.0000000000000001E-5</v>
      </c>
      <c r="H476" s="578" t="s">
        <v>1682</v>
      </c>
      <c r="I476" s="1970" t="s">
        <v>1676</v>
      </c>
      <c r="J476" s="1971"/>
      <c r="K476" s="1971"/>
      <c r="L476" s="1971"/>
      <c r="M476" s="1972"/>
      <c r="Q476" s="182"/>
      <c r="R476" s="165"/>
    </row>
    <row r="477" spans="1:29" ht="15" customHeight="1">
      <c r="A477" s="1833"/>
      <c r="B477" s="173" t="s">
        <v>1689</v>
      </c>
      <c r="C477" s="173" t="s">
        <v>1621</v>
      </c>
      <c r="D477" s="174">
        <v>3.0400000000000002E-3</v>
      </c>
      <c r="E477" s="175">
        <v>3.0000000000000001E-3</v>
      </c>
      <c r="F477" s="211">
        <v>0</v>
      </c>
      <c r="G477" s="191">
        <v>4.0000000000000003E-5</v>
      </c>
      <c r="H477" s="578" t="s">
        <v>1682</v>
      </c>
      <c r="I477" s="1973"/>
      <c r="J477" s="1974"/>
      <c r="K477" s="1974"/>
      <c r="L477" s="1974"/>
      <c r="M477" s="1975"/>
      <c r="Q477" s="182"/>
      <c r="R477" s="165"/>
    </row>
    <row r="478" spans="1:29" ht="15" customHeight="1">
      <c r="A478" s="1833"/>
      <c r="B478" s="173" t="s">
        <v>1690</v>
      </c>
      <c r="C478" s="173" t="s">
        <v>1621</v>
      </c>
      <c r="D478" s="174">
        <v>4.1599999999999996E-3</v>
      </c>
      <c r="E478" s="175">
        <v>4.1000000000000003E-3</v>
      </c>
      <c r="F478" s="211">
        <v>0</v>
      </c>
      <c r="G478" s="191">
        <v>6.0000000000000002E-5</v>
      </c>
      <c r="H478" s="578" t="s">
        <v>1682</v>
      </c>
      <c r="I478" s="1973"/>
      <c r="J478" s="1974"/>
      <c r="K478" s="1974"/>
      <c r="L478" s="1974"/>
      <c r="M478" s="1975"/>
      <c r="Q478" s="182"/>
      <c r="R478" s="165"/>
    </row>
    <row r="479" spans="1:29" ht="15" customHeight="1">
      <c r="A479" s="1833"/>
      <c r="B479" s="173" t="s">
        <v>1691</v>
      </c>
      <c r="C479" s="173" t="s">
        <v>1621</v>
      </c>
      <c r="D479" s="174">
        <v>5.7800000000000004E-3</v>
      </c>
      <c r="E479" s="175">
        <v>5.7000000000000002E-3</v>
      </c>
      <c r="F479" s="211">
        <v>0</v>
      </c>
      <c r="G479" s="191">
        <v>8.0000000000000007E-5</v>
      </c>
      <c r="H479" s="578" t="s">
        <v>1682</v>
      </c>
      <c r="I479" s="1973"/>
      <c r="J479" s="1974"/>
      <c r="K479" s="1974"/>
      <c r="L479" s="1974"/>
      <c r="M479" s="1975"/>
      <c r="Q479" s="182"/>
      <c r="R479" s="165"/>
    </row>
    <row r="480" spans="1:29" ht="15" customHeight="1">
      <c r="A480" s="1833"/>
      <c r="B480" s="173" t="s">
        <v>1692</v>
      </c>
      <c r="C480" s="173" t="s">
        <v>1621</v>
      </c>
      <c r="D480" s="174">
        <v>8.0099999999999998E-3</v>
      </c>
      <c r="E480" s="175">
        <v>7.9000000000000008E-3</v>
      </c>
      <c r="F480" s="211">
        <v>0</v>
      </c>
      <c r="G480" s="191">
        <v>1.1E-4</v>
      </c>
      <c r="H480" s="578" t="s">
        <v>1682</v>
      </c>
      <c r="I480" s="1973"/>
      <c r="J480" s="1974"/>
      <c r="K480" s="1974"/>
      <c r="L480" s="1974"/>
      <c r="M480" s="1975"/>
      <c r="Q480" s="182"/>
      <c r="R480" s="165"/>
      <c r="Z480" s="80"/>
      <c r="AA480" s="80"/>
      <c r="AB480" s="80"/>
      <c r="AC480" s="80"/>
    </row>
    <row r="481" spans="1:29" ht="15" customHeight="1">
      <c r="A481" s="1833"/>
      <c r="B481" s="173" t="s">
        <v>1693</v>
      </c>
      <c r="C481" s="173" t="s">
        <v>1621</v>
      </c>
      <c r="D481" s="174">
        <v>2.9610000000000001E-2</v>
      </c>
      <c r="E481" s="175">
        <v>2.92E-2</v>
      </c>
      <c r="F481" s="211">
        <v>1.0000000000000001E-5</v>
      </c>
      <c r="G481" s="191">
        <v>4.0000000000000002E-4</v>
      </c>
      <c r="H481" s="578" t="s">
        <v>1682</v>
      </c>
      <c r="I481" s="1973"/>
      <c r="J481" s="1974"/>
      <c r="K481" s="1974"/>
      <c r="L481" s="1974"/>
      <c r="M481" s="1975"/>
      <c r="Q481" s="182"/>
      <c r="R481" s="165"/>
    </row>
    <row r="482" spans="1:29" ht="15" customHeight="1">
      <c r="A482" s="1833"/>
      <c r="B482" s="173" t="s">
        <v>1694</v>
      </c>
      <c r="C482" s="173" t="s">
        <v>1621</v>
      </c>
      <c r="D482" s="174">
        <v>3.5400000000000002E-3</v>
      </c>
      <c r="E482" s="175">
        <v>3.49E-3</v>
      </c>
      <c r="F482" s="211">
        <v>0</v>
      </c>
      <c r="G482" s="191">
        <v>5.0000000000000002E-5</v>
      </c>
      <c r="H482" s="578" t="s">
        <v>1682</v>
      </c>
      <c r="I482" s="1973"/>
      <c r="J482" s="1974"/>
      <c r="K482" s="1974"/>
      <c r="L482" s="1974"/>
      <c r="M482" s="1975"/>
      <c r="Q482" s="182"/>
      <c r="R482" s="165"/>
    </row>
    <row r="483" spans="1:29" ht="15" customHeight="1">
      <c r="A483" s="1833" t="s">
        <v>1695</v>
      </c>
      <c r="B483" s="173" t="s">
        <v>1696</v>
      </c>
      <c r="C483" s="173" t="s">
        <v>1621</v>
      </c>
      <c r="D483" s="174">
        <v>1.2070000000000001E-2</v>
      </c>
      <c r="E483" s="175">
        <v>1.1900000000000001E-2</v>
      </c>
      <c r="F483" s="211">
        <v>0</v>
      </c>
      <c r="G483" s="191">
        <v>1.6000000000000001E-4</v>
      </c>
      <c r="H483" s="578" t="s">
        <v>1682</v>
      </c>
      <c r="I483" s="1973"/>
      <c r="J483" s="1974"/>
      <c r="K483" s="1974"/>
      <c r="L483" s="1974"/>
      <c r="M483" s="1975"/>
      <c r="Q483" s="182"/>
      <c r="R483" s="165"/>
    </row>
    <row r="484" spans="1:29" ht="15" customHeight="1">
      <c r="A484" s="1833"/>
      <c r="B484" s="173" t="s">
        <v>1697</v>
      </c>
      <c r="C484" s="173" t="s">
        <v>1621</v>
      </c>
      <c r="D484" s="174">
        <v>1.602E-2</v>
      </c>
      <c r="E484" s="175">
        <v>1.5800000000000002E-2</v>
      </c>
      <c r="F484" s="211">
        <v>1.0000000000000001E-5</v>
      </c>
      <c r="G484" s="191">
        <v>2.2000000000000001E-4</v>
      </c>
      <c r="H484" s="578" t="s">
        <v>1682</v>
      </c>
      <c r="I484" s="1973"/>
      <c r="J484" s="1974"/>
      <c r="K484" s="1974"/>
      <c r="L484" s="1974"/>
      <c r="M484" s="1975"/>
      <c r="Q484" s="182"/>
      <c r="R484" s="165"/>
    </row>
    <row r="485" spans="1:29" ht="15" customHeight="1">
      <c r="A485" s="1833"/>
      <c r="B485" s="173" t="s">
        <v>1698</v>
      </c>
      <c r="C485" s="173" t="s">
        <v>1621</v>
      </c>
      <c r="D485" s="174">
        <v>1.409E-2</v>
      </c>
      <c r="E485" s="175">
        <v>1.3899999999999999E-2</v>
      </c>
      <c r="F485" s="211">
        <v>0</v>
      </c>
      <c r="G485" s="191">
        <v>1.9000000000000001E-4</v>
      </c>
      <c r="H485" s="578" t="s">
        <v>1682</v>
      </c>
      <c r="I485" s="1973"/>
      <c r="J485" s="1974"/>
      <c r="K485" s="1974"/>
      <c r="L485" s="1974"/>
      <c r="M485" s="1975"/>
      <c r="Q485" s="182"/>
      <c r="R485" s="165"/>
    </row>
    <row r="486" spans="1:29" ht="15" customHeight="1">
      <c r="A486" s="1833"/>
      <c r="B486" s="173" t="s">
        <v>1699</v>
      </c>
      <c r="C486" s="173" t="s">
        <v>1621</v>
      </c>
      <c r="D486" s="174">
        <v>1.115E-2</v>
      </c>
      <c r="E486" s="175">
        <v>1.0999999999999999E-2</v>
      </c>
      <c r="F486" s="211">
        <v>0</v>
      </c>
      <c r="G486" s="191">
        <v>1.4999999999999999E-4</v>
      </c>
      <c r="H486" s="578" t="s">
        <v>1682</v>
      </c>
      <c r="I486" s="1973"/>
      <c r="J486" s="1974"/>
      <c r="K486" s="1974"/>
      <c r="L486" s="1974"/>
      <c r="M486" s="1975"/>
      <c r="Q486" s="182"/>
      <c r="R486" s="165"/>
    </row>
    <row r="487" spans="1:29" ht="15" customHeight="1">
      <c r="A487" s="1833"/>
      <c r="B487" s="173" t="s">
        <v>1700</v>
      </c>
      <c r="C487" s="173" t="s">
        <v>1621</v>
      </c>
      <c r="D487" s="174">
        <v>1.7739999999999999E-2</v>
      </c>
      <c r="E487" s="175">
        <v>1.7500000000000002E-2</v>
      </c>
      <c r="F487" s="211">
        <v>1.0000000000000001E-5</v>
      </c>
      <c r="G487" s="191">
        <v>2.4000000000000001E-4</v>
      </c>
      <c r="H487" s="578" t="s">
        <v>1682</v>
      </c>
      <c r="I487" s="1973"/>
      <c r="J487" s="1974"/>
      <c r="K487" s="1974"/>
      <c r="L487" s="1974"/>
      <c r="M487" s="1975"/>
      <c r="Q487" s="182"/>
      <c r="R487" s="165"/>
    </row>
    <row r="488" spans="1:29" s="80" customFormat="1" ht="15" customHeight="1">
      <c r="A488" s="1833"/>
      <c r="B488" s="173" t="s">
        <v>1701</v>
      </c>
      <c r="C488" s="173" t="s">
        <v>1621</v>
      </c>
      <c r="D488" s="174">
        <v>2.0080000000000001E-2</v>
      </c>
      <c r="E488" s="175">
        <v>1.9800000000000002E-2</v>
      </c>
      <c r="F488" s="211">
        <v>1.0000000000000001E-5</v>
      </c>
      <c r="G488" s="191">
        <v>2.7E-4</v>
      </c>
      <c r="H488" s="578" t="s">
        <v>1682</v>
      </c>
      <c r="I488" s="1973"/>
      <c r="J488" s="1974"/>
      <c r="K488" s="1974"/>
      <c r="L488" s="1974"/>
      <c r="M488" s="1975"/>
      <c r="N488"/>
      <c r="O488"/>
      <c r="P488"/>
      <c r="Q488" s="182"/>
      <c r="R488" s="648"/>
      <c r="V488" s="1278"/>
      <c r="W488" s="1278"/>
      <c r="Z488"/>
      <c r="AA488"/>
      <c r="AB488"/>
      <c r="AC488"/>
    </row>
    <row r="489" spans="1:29" ht="15" customHeight="1">
      <c r="A489" s="1833"/>
      <c r="B489" s="643" t="s">
        <v>1694</v>
      </c>
      <c r="C489" s="643" t="s">
        <v>1621</v>
      </c>
      <c r="D489" s="644">
        <v>1.323E-2</v>
      </c>
      <c r="E489" s="644">
        <v>1.3050000000000001E-2</v>
      </c>
      <c r="F489" s="649">
        <v>0</v>
      </c>
      <c r="G489" s="645">
        <v>1.8000000000000001E-4</v>
      </c>
      <c r="H489" s="650" t="s">
        <v>1682</v>
      </c>
      <c r="I489" s="1973"/>
      <c r="J489" s="1974"/>
      <c r="K489" s="1974"/>
      <c r="L489" s="1974"/>
      <c r="M489" s="1975"/>
      <c r="N489" s="80"/>
      <c r="O489" s="80"/>
      <c r="P489" s="80"/>
      <c r="Q489" s="651"/>
      <c r="R489" s="165"/>
    </row>
    <row r="490" spans="1:29" ht="15" customHeight="1">
      <c r="A490" s="1833" t="s">
        <v>1702</v>
      </c>
      <c r="B490" s="173" t="s">
        <v>1703</v>
      </c>
      <c r="C490" s="173" t="s">
        <v>1621</v>
      </c>
      <c r="D490" s="174">
        <v>1.2670000000000001E-2</v>
      </c>
      <c r="E490" s="175">
        <v>1.2500000000000001E-2</v>
      </c>
      <c r="F490" s="211">
        <v>0</v>
      </c>
      <c r="G490" s="191">
        <v>1.7000000000000001E-4</v>
      </c>
      <c r="H490" s="578" t="s">
        <v>1682</v>
      </c>
      <c r="I490" s="1973"/>
      <c r="J490" s="1974"/>
      <c r="K490" s="1974"/>
      <c r="L490" s="1974"/>
      <c r="M490" s="1975"/>
      <c r="Q490" s="182"/>
      <c r="R490" s="165"/>
    </row>
    <row r="491" spans="1:29" ht="15" customHeight="1">
      <c r="A491" s="1833"/>
      <c r="B491" s="173" t="s">
        <v>1704</v>
      </c>
      <c r="C491" s="173" t="s">
        <v>1621</v>
      </c>
      <c r="D491" s="174">
        <v>1.6830000000000001E-2</v>
      </c>
      <c r="E491" s="175">
        <v>1.66E-2</v>
      </c>
      <c r="F491" s="211">
        <v>1.0000000000000001E-5</v>
      </c>
      <c r="G491" s="191">
        <v>2.3000000000000001E-4</v>
      </c>
      <c r="H491" s="578" t="s">
        <v>1682</v>
      </c>
      <c r="I491" s="1973"/>
      <c r="J491" s="1974"/>
      <c r="K491" s="1974"/>
      <c r="L491" s="1974"/>
      <c r="M491" s="1975"/>
      <c r="Q491" s="182"/>
      <c r="R491" s="165"/>
    </row>
    <row r="492" spans="1:29" ht="15" customHeight="1">
      <c r="A492" s="1833"/>
      <c r="B492" s="173" t="s">
        <v>1705</v>
      </c>
      <c r="C492" s="173" t="s">
        <v>1621</v>
      </c>
      <c r="D492" s="174">
        <v>1.6830000000000001E-2</v>
      </c>
      <c r="E492" s="175">
        <v>1.66E-2</v>
      </c>
      <c r="F492" s="211">
        <v>1.0000000000000001E-5</v>
      </c>
      <c r="G492" s="191">
        <v>2.3000000000000001E-4</v>
      </c>
      <c r="H492" s="578" t="s">
        <v>1682</v>
      </c>
      <c r="I492" s="1973"/>
      <c r="J492" s="1974"/>
      <c r="K492" s="1974"/>
      <c r="L492" s="1974"/>
      <c r="M492" s="1975"/>
      <c r="Q492" s="182"/>
      <c r="R492" s="165"/>
    </row>
    <row r="493" spans="1:29" ht="15" customHeight="1">
      <c r="A493" s="1833"/>
      <c r="B493" s="173" t="s">
        <v>1706</v>
      </c>
      <c r="C493" s="173" t="s">
        <v>1621</v>
      </c>
      <c r="D493" s="174">
        <v>2.0279999999999999E-2</v>
      </c>
      <c r="E493" s="175">
        <v>0.02</v>
      </c>
      <c r="F493" s="211">
        <v>1.0000000000000001E-5</v>
      </c>
      <c r="G493" s="191">
        <v>2.7E-4</v>
      </c>
      <c r="H493" s="578" t="s">
        <v>1682</v>
      </c>
      <c r="I493" s="1973"/>
      <c r="J493" s="1974"/>
      <c r="K493" s="1974"/>
      <c r="L493" s="1974"/>
      <c r="M493" s="1975"/>
      <c r="Q493" s="182"/>
      <c r="R493" s="165"/>
    </row>
    <row r="494" spans="1:29" ht="15" customHeight="1">
      <c r="A494" s="1833"/>
      <c r="B494" s="173" t="s">
        <v>1707</v>
      </c>
      <c r="C494" s="173" t="s">
        <v>1621</v>
      </c>
      <c r="D494" s="174">
        <v>3.2550000000000003E-2</v>
      </c>
      <c r="E494" s="175">
        <v>3.2099999999999997E-2</v>
      </c>
      <c r="F494" s="211">
        <v>1.0000000000000001E-5</v>
      </c>
      <c r="G494" s="191">
        <v>4.4000000000000002E-4</v>
      </c>
      <c r="H494" s="578" t="s">
        <v>1682</v>
      </c>
      <c r="I494" s="1973"/>
      <c r="J494" s="1974"/>
      <c r="K494" s="1974"/>
      <c r="L494" s="1974"/>
      <c r="M494" s="1975"/>
      <c r="Q494" s="182"/>
      <c r="R494" s="165"/>
    </row>
    <row r="495" spans="1:29" ht="15" customHeight="1">
      <c r="A495" s="1833"/>
      <c r="B495" s="173" t="s">
        <v>1708</v>
      </c>
      <c r="C495" s="173" t="s">
        <v>1621</v>
      </c>
      <c r="D495" s="174">
        <v>3.6810000000000002E-2</v>
      </c>
      <c r="E495" s="175">
        <v>3.6299999999999999E-2</v>
      </c>
      <c r="F495" s="211">
        <v>1.0000000000000001E-5</v>
      </c>
      <c r="G495" s="191">
        <v>4.8999999999999998E-4</v>
      </c>
      <c r="H495" s="578" t="s">
        <v>1682</v>
      </c>
      <c r="I495" s="1973"/>
      <c r="J495" s="1974"/>
      <c r="K495" s="1974"/>
      <c r="L495" s="1974"/>
      <c r="M495" s="1975"/>
      <c r="Q495" s="182"/>
      <c r="R495" s="165"/>
    </row>
    <row r="496" spans="1:29" ht="15" customHeight="1">
      <c r="A496" s="1833"/>
      <c r="B496" s="173" t="s">
        <v>1694</v>
      </c>
      <c r="C496" s="173" t="s">
        <v>1621</v>
      </c>
      <c r="D496" s="174">
        <v>1.6140000000000002E-2</v>
      </c>
      <c r="E496" s="175">
        <v>1.592E-2</v>
      </c>
      <c r="F496" s="211">
        <v>1.0000000000000001E-5</v>
      </c>
      <c r="G496" s="191">
        <v>2.2000000000000001E-4</v>
      </c>
      <c r="H496" s="578" t="s">
        <v>1682</v>
      </c>
      <c r="I496" s="1973"/>
      <c r="J496" s="1974"/>
      <c r="K496" s="1974"/>
      <c r="L496" s="1974"/>
      <c r="M496" s="1975"/>
      <c r="Q496" s="182"/>
      <c r="R496" s="165"/>
    </row>
    <row r="497" spans="1:29" ht="15" customHeight="1">
      <c r="A497" s="1833" t="s">
        <v>1709</v>
      </c>
      <c r="B497" s="173" t="s">
        <v>1710</v>
      </c>
      <c r="C497" s="173" t="s">
        <v>1621</v>
      </c>
      <c r="D497" s="174">
        <v>3.245E-2</v>
      </c>
      <c r="E497" s="175">
        <v>3.2000000000000001E-2</v>
      </c>
      <c r="F497" s="211">
        <v>1.0000000000000001E-5</v>
      </c>
      <c r="G497" s="191">
        <v>4.4000000000000002E-4</v>
      </c>
      <c r="H497" s="578" t="s">
        <v>1682</v>
      </c>
      <c r="I497" s="1973"/>
      <c r="J497" s="1974"/>
      <c r="K497" s="1974"/>
      <c r="L497" s="1974"/>
      <c r="M497" s="1975"/>
      <c r="Q497" s="182"/>
      <c r="R497" s="165"/>
    </row>
    <row r="498" spans="1:29" ht="15" customHeight="1">
      <c r="A498" s="1833"/>
      <c r="B498" s="173" t="s">
        <v>1711</v>
      </c>
      <c r="C498" s="173" t="s">
        <v>1621</v>
      </c>
      <c r="D498" s="174">
        <v>5.8400000000000001E-2</v>
      </c>
      <c r="E498" s="175">
        <v>5.7599999999999998E-2</v>
      </c>
      <c r="F498" s="211">
        <v>2.0000000000000002E-5</v>
      </c>
      <c r="G498" s="191">
        <v>7.7999999999999999E-4</v>
      </c>
      <c r="H498" s="578" t="s">
        <v>1682</v>
      </c>
      <c r="I498" s="1973"/>
      <c r="J498" s="1974"/>
      <c r="K498" s="1974"/>
      <c r="L498" s="1974"/>
      <c r="M498" s="1975"/>
      <c r="Q498" s="182"/>
      <c r="R498" s="165"/>
      <c r="Z498" s="80"/>
      <c r="AA498" s="80"/>
      <c r="AB498" s="80"/>
      <c r="AC498" s="80"/>
    </row>
    <row r="499" spans="1:29" ht="15" customHeight="1">
      <c r="A499" s="1833"/>
      <c r="B499" s="173" t="s">
        <v>1694</v>
      </c>
      <c r="C499" s="173" t="s">
        <v>1621</v>
      </c>
      <c r="D499" s="174">
        <v>3.8580000000000003E-2</v>
      </c>
      <c r="E499" s="175">
        <v>3.805E-2</v>
      </c>
      <c r="F499" s="211">
        <v>1.0000000000000001E-5</v>
      </c>
      <c r="G499" s="191">
        <v>5.1999999999999995E-4</v>
      </c>
      <c r="H499" s="578" t="s">
        <v>1682</v>
      </c>
      <c r="I499" s="1973"/>
      <c r="J499" s="1974"/>
      <c r="K499" s="1974"/>
      <c r="L499" s="1974"/>
      <c r="M499" s="1975"/>
      <c r="Q499" s="182"/>
      <c r="R499" s="165"/>
    </row>
    <row r="500" spans="1:29" ht="15" customHeight="1">
      <c r="A500" s="1805" t="s">
        <v>1712</v>
      </c>
      <c r="B500" s="173" t="s">
        <v>1713</v>
      </c>
      <c r="C500" s="173" t="s">
        <v>1621</v>
      </c>
      <c r="D500" s="174">
        <v>5.0189999999999999E-2</v>
      </c>
      <c r="E500" s="175">
        <v>4.9500000000000002E-2</v>
      </c>
      <c r="F500" s="211">
        <v>2.0000000000000002E-5</v>
      </c>
      <c r="G500" s="191">
        <v>6.7000000000000002E-4</v>
      </c>
      <c r="H500" s="578" t="s">
        <v>1682</v>
      </c>
      <c r="I500" s="1973"/>
      <c r="J500" s="1974"/>
      <c r="K500" s="1974"/>
      <c r="L500" s="1974"/>
      <c r="M500" s="1975"/>
      <c r="Q500" s="182"/>
      <c r="R500" s="165"/>
    </row>
    <row r="501" spans="1:29" ht="15" customHeight="1">
      <c r="A501" s="1806"/>
      <c r="B501" s="173" t="s">
        <v>1714</v>
      </c>
      <c r="C501" s="173" t="s">
        <v>1621</v>
      </c>
      <c r="D501" s="174">
        <v>6.114E-2</v>
      </c>
      <c r="E501" s="175">
        <v>6.0299999999999999E-2</v>
      </c>
      <c r="F501" s="211">
        <v>2.0000000000000002E-5</v>
      </c>
      <c r="G501" s="191">
        <v>8.1999999999999998E-4</v>
      </c>
      <c r="H501" s="578" t="s">
        <v>1682</v>
      </c>
      <c r="I501" s="1973"/>
      <c r="J501" s="1974"/>
      <c r="K501" s="1974"/>
      <c r="L501" s="1974"/>
      <c r="M501" s="1975"/>
      <c r="Q501" s="182"/>
      <c r="R501" s="165"/>
    </row>
    <row r="502" spans="1:29" ht="15" customHeight="1">
      <c r="A502" s="1806"/>
      <c r="B502" s="173" t="s">
        <v>1694</v>
      </c>
      <c r="C502" s="173" t="s">
        <v>1621</v>
      </c>
      <c r="D502" s="174">
        <v>5.1659999999999998E-2</v>
      </c>
      <c r="E502" s="175">
        <v>5.0950000000000002E-2</v>
      </c>
      <c r="F502" s="211">
        <v>2.0000000000000002E-5</v>
      </c>
      <c r="G502" s="191">
        <v>6.8999999999999997E-4</v>
      </c>
      <c r="H502" s="578" t="s">
        <v>1682</v>
      </c>
      <c r="I502" s="1973"/>
      <c r="J502" s="1974"/>
      <c r="K502" s="1974"/>
      <c r="L502" s="1974"/>
      <c r="M502" s="1975"/>
      <c r="Q502" s="182"/>
      <c r="R502" s="165"/>
    </row>
    <row r="503" spans="1:29">
      <c r="A503" s="1807"/>
      <c r="B503" s="173" t="s">
        <v>1715</v>
      </c>
      <c r="C503" s="173" t="s">
        <v>1621</v>
      </c>
      <c r="D503" s="174">
        <v>0.37667</v>
      </c>
      <c r="E503" s="175">
        <v>0.3715</v>
      </c>
      <c r="F503" s="211">
        <v>1.1E-4</v>
      </c>
      <c r="G503" s="191">
        <v>5.0600000000000003E-3</v>
      </c>
      <c r="H503" s="578"/>
      <c r="I503" s="1973"/>
      <c r="J503" s="1974"/>
      <c r="K503" s="1974"/>
      <c r="L503" s="1974"/>
      <c r="M503" s="1975"/>
      <c r="Q503" s="182"/>
      <c r="R503" s="165"/>
    </row>
    <row r="504" spans="1:29">
      <c r="A504" s="212" t="s">
        <v>1716</v>
      </c>
      <c r="B504" s="173" t="s">
        <v>1717</v>
      </c>
      <c r="C504" s="173" t="s">
        <v>1621</v>
      </c>
      <c r="D504" s="174">
        <v>1.308E-2</v>
      </c>
      <c r="E504" s="175">
        <v>1.29E-2</v>
      </c>
      <c r="F504" s="211">
        <v>0</v>
      </c>
      <c r="G504" s="191">
        <v>1.8000000000000001E-4</v>
      </c>
      <c r="H504" s="578" t="s">
        <v>1682</v>
      </c>
      <c r="I504" s="1976"/>
      <c r="J504" s="1977"/>
      <c r="K504" s="1977"/>
      <c r="L504" s="1977"/>
      <c r="M504" s="1978"/>
      <c r="Q504" s="182"/>
    </row>
    <row r="506" spans="1:29">
      <c r="A506" s="1834" t="s">
        <v>1718</v>
      </c>
      <c r="B506" s="1835"/>
      <c r="C506" s="1835"/>
      <c r="D506" s="1835"/>
      <c r="E506" s="1835"/>
      <c r="F506" s="1835"/>
      <c r="G506" s="1835"/>
      <c r="H506" s="1835"/>
      <c r="I506" s="1836"/>
    </row>
    <row r="507" spans="1:29" ht="18">
      <c r="A507" s="1810" t="s">
        <v>1613</v>
      </c>
      <c r="B507" s="1837"/>
      <c r="C507" s="170" t="s">
        <v>1340</v>
      </c>
      <c r="D507" s="171" t="s">
        <v>1614</v>
      </c>
      <c r="E507" s="172" t="s">
        <v>1615</v>
      </c>
      <c r="F507" s="172" t="s">
        <v>1616</v>
      </c>
      <c r="G507" s="172" t="s">
        <v>1617</v>
      </c>
      <c r="H507" s="170" t="s">
        <v>1618</v>
      </c>
      <c r="I507" s="604" t="s">
        <v>1619</v>
      </c>
    </row>
    <row r="508" spans="1:29">
      <c r="A508" s="212" t="s">
        <v>1719</v>
      </c>
      <c r="B508" s="173" t="s">
        <v>1720</v>
      </c>
      <c r="C508" s="173" t="s">
        <v>1621</v>
      </c>
      <c r="D508" s="174">
        <v>2.7E-2</v>
      </c>
      <c r="E508" s="175">
        <v>2.7E-2</v>
      </c>
      <c r="F508" s="191">
        <v>9.0000000000000006E-5</v>
      </c>
      <c r="G508" s="176">
        <v>6.9999999999999994E-5</v>
      </c>
      <c r="H508" s="578"/>
      <c r="I508" s="225"/>
    </row>
    <row r="509" spans="1:29">
      <c r="A509" s="213" t="s">
        <v>2274</v>
      </c>
    </row>
    <row r="511" spans="1:29" ht="23.25">
      <c r="A511" s="1802" t="s">
        <v>109</v>
      </c>
      <c r="B511" s="1803"/>
      <c r="C511" s="1803"/>
      <c r="D511" s="1803"/>
      <c r="E511" s="1803"/>
      <c r="F511" s="1803"/>
      <c r="G511" s="1803"/>
      <c r="H511" s="1803"/>
      <c r="I511" s="1803"/>
      <c r="J511" s="1803"/>
      <c r="K511" s="1803"/>
      <c r="L511" s="1803"/>
      <c r="M511" s="1803"/>
      <c r="N511" s="1803"/>
      <c r="O511" s="1803"/>
      <c r="P511" s="1803"/>
      <c r="Q511" s="1804"/>
    </row>
    <row r="512" spans="1:29" s="6" customFormat="1">
      <c r="A512"/>
      <c r="B512"/>
      <c r="C512"/>
      <c r="D512"/>
      <c r="E512"/>
      <c r="F512"/>
      <c r="G512"/>
      <c r="H512"/>
      <c r="I512"/>
      <c r="J512"/>
      <c r="K512"/>
      <c r="L512"/>
      <c r="M512"/>
      <c r="N512"/>
      <c r="O512"/>
      <c r="P512"/>
      <c r="Q512"/>
      <c r="V512" s="1286"/>
      <c r="W512" s="1286"/>
      <c r="Z512"/>
      <c r="AA512"/>
      <c r="AB512"/>
      <c r="AC512"/>
    </row>
    <row r="513" spans="1:29">
      <c r="A513" s="6" t="s">
        <v>2312</v>
      </c>
      <c r="B513" s="6"/>
      <c r="C513" s="6"/>
      <c r="D513" s="6"/>
      <c r="E513" s="6"/>
      <c r="F513" s="6"/>
      <c r="G513" s="6"/>
      <c r="H513" s="6"/>
      <c r="I513" s="6"/>
      <c r="J513" s="6"/>
      <c r="K513" s="6"/>
      <c r="L513" s="6"/>
      <c r="M513" s="6"/>
      <c r="N513" s="6"/>
      <c r="O513" s="6"/>
      <c r="P513" s="6"/>
      <c r="Q513" s="6"/>
    </row>
    <row r="522" spans="1:29">
      <c r="Z522" s="6"/>
      <c r="AA522" s="6"/>
      <c r="AB522" s="6"/>
      <c r="AC522" s="6"/>
    </row>
    <row r="539" spans="1:14">
      <c r="G539" s="1888" t="s">
        <v>1721</v>
      </c>
      <c r="H539" s="1889"/>
      <c r="I539" s="1889"/>
      <c r="J539" s="1889"/>
      <c r="K539" s="1890"/>
      <c r="L539" s="37" t="s">
        <v>1722</v>
      </c>
      <c r="M539" s="37">
        <v>2</v>
      </c>
    </row>
    <row r="540" spans="1:14">
      <c r="A540" t="s">
        <v>1723</v>
      </c>
      <c r="G540" s="1888" t="s">
        <v>1724</v>
      </c>
      <c r="H540" s="1889"/>
      <c r="I540" s="1889"/>
      <c r="J540" s="1889"/>
      <c r="K540" s="1890"/>
      <c r="L540" s="37" t="s">
        <v>1725</v>
      </c>
      <c r="M540" s="37">
        <v>1.3</v>
      </c>
    </row>
    <row r="541" spans="1:14">
      <c r="A541" s="10" t="s">
        <v>2313</v>
      </c>
      <c r="G541" s="1888" t="s">
        <v>1727</v>
      </c>
      <c r="H541" s="1889"/>
      <c r="I541" s="1889"/>
      <c r="J541" s="1889"/>
      <c r="K541" s="1890"/>
      <c r="L541" s="37" t="s">
        <v>1728</v>
      </c>
      <c r="M541" s="37">
        <v>4</v>
      </c>
    </row>
    <row r="542" spans="1:14">
      <c r="G542" s="1888" t="s">
        <v>1729</v>
      </c>
      <c r="H542" s="1889"/>
      <c r="I542" s="1889"/>
      <c r="J542" s="1889"/>
      <c r="K542" s="1890"/>
      <c r="L542" s="37" t="s">
        <v>1730</v>
      </c>
      <c r="M542" s="37">
        <f>M540+M539</f>
        <v>3.3</v>
      </c>
      <c r="N542" t="s">
        <v>1731</v>
      </c>
    </row>
    <row r="543" spans="1:14">
      <c r="G543" s="1888" t="s">
        <v>1732</v>
      </c>
      <c r="H543" s="1889"/>
      <c r="I543" s="1889"/>
      <c r="J543" s="1889"/>
      <c r="K543" s="1890"/>
      <c r="L543" s="37" t="s">
        <v>1733</v>
      </c>
      <c r="M543" s="37">
        <f>(M539+M540)-M541</f>
        <v>-0.70000000000000018</v>
      </c>
    </row>
    <row r="545" spans="1:17" ht="23.25">
      <c r="A545" s="1802" t="s">
        <v>94</v>
      </c>
      <c r="B545" s="1803"/>
      <c r="C545" s="1803"/>
      <c r="D545" s="1803"/>
      <c r="E545" s="1803"/>
      <c r="F545" s="1803"/>
      <c r="G545" s="1803"/>
      <c r="H545" s="1803"/>
      <c r="I545" s="1803"/>
      <c r="J545" s="1803"/>
      <c r="K545" s="1803"/>
      <c r="L545" s="1803"/>
      <c r="M545" s="1803"/>
      <c r="N545" s="1803"/>
      <c r="O545" s="1803"/>
      <c r="P545" s="1803"/>
      <c r="Q545" s="1804"/>
    </row>
    <row r="546" spans="1:17">
      <c r="A546" s="2" t="s">
        <v>1734</v>
      </c>
    </row>
    <row r="547" spans="1:17">
      <c r="A547" s="2" t="s">
        <v>1735</v>
      </c>
    </row>
    <row r="575" spans="1:3" ht="15.75">
      <c r="A575" s="24" t="s">
        <v>1736</v>
      </c>
      <c r="B575" s="22"/>
      <c r="C575" s="22"/>
    </row>
    <row r="586" spans="1:29" ht="15.75">
      <c r="A586" s="24" t="s">
        <v>1737</v>
      </c>
    </row>
    <row r="588" spans="1:29" s="22" customFormat="1" ht="16.5" thickBot="1">
      <c r="A588" s="91" t="s">
        <v>1738</v>
      </c>
      <c r="B588"/>
      <c r="C588"/>
      <c r="D588"/>
      <c r="E588"/>
      <c r="F588"/>
      <c r="G588"/>
      <c r="H588"/>
      <c r="I588"/>
      <c r="J588"/>
      <c r="K588"/>
      <c r="L588"/>
      <c r="M588"/>
      <c r="N588"/>
      <c r="O588"/>
      <c r="P588"/>
      <c r="Q588"/>
      <c r="V588" s="1284"/>
      <c r="W588" s="1284"/>
      <c r="Z588"/>
      <c r="AA588"/>
      <c r="AB588"/>
      <c r="AC588"/>
    </row>
    <row r="589" spans="1:29" s="22" customFormat="1" ht="15.75">
      <c r="A589" s="470" t="s">
        <v>923</v>
      </c>
      <c r="B589" s="432" t="s">
        <v>967</v>
      </c>
      <c r="C589" s="471" t="s">
        <v>2314</v>
      </c>
      <c r="J589" s="264"/>
      <c r="V589" s="1284"/>
      <c r="W589" s="1284"/>
      <c r="Z589"/>
      <c r="AA589"/>
      <c r="AB589"/>
      <c r="AC589"/>
    </row>
    <row r="590" spans="1:29" s="22" customFormat="1" ht="15.75">
      <c r="A590" s="434" t="s">
        <v>119</v>
      </c>
      <c r="B590" s="476" t="s">
        <v>2315</v>
      </c>
      <c r="C590" s="442">
        <v>0.94266000000000005</v>
      </c>
      <c r="V590" s="1284"/>
      <c r="W590" s="1284"/>
      <c r="Z590"/>
      <c r="AA590"/>
      <c r="AB590"/>
      <c r="AC590"/>
    </row>
    <row r="591" spans="1:29" s="22" customFormat="1" ht="15.75">
      <c r="A591" s="434" t="s">
        <v>1742</v>
      </c>
      <c r="B591" s="476" t="s">
        <v>2316</v>
      </c>
      <c r="C591" s="442">
        <v>0.72389999999999999</v>
      </c>
      <c r="D591" s="477"/>
      <c r="V591" s="1284"/>
      <c r="W591" s="1284"/>
      <c r="Z591"/>
      <c r="AA591"/>
      <c r="AB591"/>
      <c r="AC591"/>
    </row>
    <row r="592" spans="1:29" ht="15.75">
      <c r="A592" s="434" t="s">
        <v>121</v>
      </c>
      <c r="B592" s="476" t="s">
        <v>1744</v>
      </c>
      <c r="C592" s="442">
        <v>1.161</v>
      </c>
      <c r="D592" s="22"/>
      <c r="E592" s="22"/>
      <c r="F592" s="22"/>
      <c r="G592" s="22"/>
      <c r="H592" s="22"/>
      <c r="I592" s="22"/>
      <c r="J592" s="22"/>
      <c r="K592" s="264"/>
      <c r="L592" s="22"/>
      <c r="M592" s="22"/>
      <c r="N592" s="22"/>
      <c r="O592" s="22"/>
      <c r="P592" s="22"/>
      <c r="Q592" s="22"/>
    </row>
    <row r="593" spans="1:29" ht="15.75">
      <c r="A593" s="22"/>
      <c r="B593" s="22"/>
      <c r="C593" s="22"/>
    </row>
    <row r="594" spans="1:29" ht="16.5" thickBot="1">
      <c r="A594" s="22"/>
      <c r="B594" s="22"/>
      <c r="C594" s="22"/>
    </row>
    <row r="595" spans="1:29" ht="24.75" customHeight="1">
      <c r="B595" s="619" t="s">
        <v>770</v>
      </c>
      <c r="C595" s="620" t="s">
        <v>1745</v>
      </c>
      <c r="E595" s="625" t="s">
        <v>1746</v>
      </c>
      <c r="F595" s="626" t="s">
        <v>1747</v>
      </c>
      <c r="H595" s="619" t="s">
        <v>770</v>
      </c>
      <c r="I595" s="620" t="s">
        <v>1745</v>
      </c>
      <c r="J595" t="s">
        <v>967</v>
      </c>
    </row>
    <row r="596" spans="1:29" ht="16.5" thickBot="1">
      <c r="B596" s="621" t="s">
        <v>776</v>
      </c>
      <c r="C596" s="622">
        <v>4.2530000000000001</v>
      </c>
      <c r="E596" s="627">
        <f>0.24+0.05</f>
        <v>0.28999999999999998</v>
      </c>
      <c r="F596" s="628">
        <f>0.37+0.07+0.16</f>
        <v>0.6</v>
      </c>
      <c r="H596" s="621"/>
      <c r="I596" s="622"/>
    </row>
    <row r="597" spans="1:29" ht="15.75">
      <c r="B597" s="621" t="s">
        <v>777</v>
      </c>
      <c r="C597" s="622">
        <v>4.8630000000000004</v>
      </c>
      <c r="H597" s="621"/>
      <c r="I597" s="622"/>
    </row>
    <row r="598" spans="1:29" ht="15.75">
      <c r="B598" s="621" t="s">
        <v>778</v>
      </c>
      <c r="C598" s="622">
        <v>2.4900000000000002</v>
      </c>
      <c r="H598" s="621"/>
      <c r="I598" s="622"/>
      <c r="Z598" s="22"/>
      <c r="AA598" s="22"/>
      <c r="AB598" s="22"/>
      <c r="AC598" s="22"/>
    </row>
    <row r="599" spans="1:29" ht="15.75">
      <c r="B599" s="621" t="s">
        <v>779</v>
      </c>
      <c r="C599" s="622">
        <v>4.2530000000000001</v>
      </c>
      <c r="H599" s="621"/>
      <c r="I599" s="622"/>
      <c r="Z599" s="22"/>
      <c r="AA599" s="22"/>
      <c r="AB599" s="22"/>
      <c r="AC599" s="22"/>
    </row>
    <row r="600" spans="1:29" ht="15.75">
      <c r="B600" s="621" t="s">
        <v>780</v>
      </c>
      <c r="C600" s="622">
        <v>4.2530000000000001</v>
      </c>
      <c r="H600" s="621"/>
      <c r="I600" s="622"/>
      <c r="Z600" s="22"/>
      <c r="AA600" s="22"/>
      <c r="AB600" s="22"/>
      <c r="AC600" s="22"/>
    </row>
    <row r="601" spans="1:29" ht="15.75">
      <c r="B601" s="621" t="s">
        <v>781</v>
      </c>
      <c r="C601" s="622">
        <v>1.792</v>
      </c>
      <c r="H601" s="621"/>
      <c r="I601" s="622"/>
      <c r="Z601" s="22"/>
      <c r="AA601" s="22"/>
      <c r="AB601" s="22"/>
      <c r="AC601" s="22"/>
    </row>
    <row r="602" spans="1:29" ht="15.75">
      <c r="B602" s="621" t="s">
        <v>782</v>
      </c>
      <c r="C602" s="622">
        <v>1.792</v>
      </c>
      <c r="H602" s="621"/>
      <c r="I602" s="622"/>
    </row>
    <row r="603" spans="1:29" ht="15.75">
      <c r="B603" s="426" t="s">
        <v>783</v>
      </c>
      <c r="C603" s="622">
        <v>1.792</v>
      </c>
      <c r="H603" s="426"/>
      <c r="I603" s="622"/>
    </row>
    <row r="604" spans="1:29" ht="15.75">
      <c r="B604" s="426" t="s">
        <v>784</v>
      </c>
      <c r="C604" s="622">
        <v>1.792</v>
      </c>
      <c r="H604" s="426"/>
      <c r="I604" s="622"/>
    </row>
    <row r="605" spans="1:29" ht="15.75">
      <c r="B605" s="621" t="s">
        <v>112</v>
      </c>
      <c r="C605" s="622">
        <v>1.792</v>
      </c>
      <c r="H605" s="621"/>
      <c r="I605" s="622"/>
    </row>
    <row r="606" spans="1:29" ht="15.75">
      <c r="B606" s="621" t="s">
        <v>113</v>
      </c>
      <c r="C606" s="622">
        <v>0.67934040699999998</v>
      </c>
      <c r="H606" s="621"/>
      <c r="I606" s="622"/>
    </row>
    <row r="607" spans="1:29" ht="15.75">
      <c r="B607" s="621" t="s">
        <v>114</v>
      </c>
      <c r="C607" s="622">
        <v>1.792</v>
      </c>
      <c r="H607" s="621"/>
      <c r="I607" s="622"/>
    </row>
    <row r="608" spans="1:29" ht="15.75">
      <c r="B608" s="621" t="s">
        <v>115</v>
      </c>
      <c r="C608" s="622">
        <v>10.632999999999999</v>
      </c>
      <c r="H608" s="621"/>
      <c r="I608" s="622"/>
    </row>
    <row r="609" spans="1:29" ht="15.75">
      <c r="B609" s="621" t="s">
        <v>116</v>
      </c>
      <c r="C609" s="622">
        <v>1.792</v>
      </c>
      <c r="H609" s="621"/>
      <c r="I609" s="622"/>
    </row>
    <row r="610" spans="1:29" ht="15.75">
      <c r="B610" s="621" t="s">
        <v>117</v>
      </c>
      <c r="C610" s="622">
        <v>1.792</v>
      </c>
      <c r="H610" s="621"/>
      <c r="I610" s="622"/>
    </row>
    <row r="611" spans="1:29" ht="15.75">
      <c r="B611" s="621" t="s">
        <v>118</v>
      </c>
      <c r="C611" s="622">
        <v>0.67934040699999998</v>
      </c>
      <c r="H611" s="621"/>
      <c r="I611" s="622"/>
    </row>
    <row r="612" spans="1:29" ht="15.75">
      <c r="B612" s="621" t="s">
        <v>119</v>
      </c>
      <c r="C612" s="622">
        <v>0.94266000000000005</v>
      </c>
      <c r="H612" s="621"/>
      <c r="I612" s="622"/>
    </row>
    <row r="613" spans="1:29" ht="15.75">
      <c r="B613" s="621" t="s">
        <v>785</v>
      </c>
      <c r="C613" s="622">
        <v>0.72389999999999999</v>
      </c>
      <c r="H613" s="621"/>
      <c r="I613" s="622"/>
    </row>
    <row r="614" spans="1:29" s="22" customFormat="1" ht="16.5" thickBot="1">
      <c r="A614"/>
      <c r="B614" s="623" t="s">
        <v>121</v>
      </c>
      <c r="C614" s="624">
        <v>1.161</v>
      </c>
      <c r="D614"/>
      <c r="E614"/>
      <c r="F614"/>
      <c r="G614"/>
      <c r="H614" s="623"/>
      <c r="I614" s="624"/>
      <c r="J614"/>
      <c r="K614"/>
      <c r="L614"/>
      <c r="M614"/>
      <c r="N614"/>
      <c r="O614"/>
      <c r="P614"/>
      <c r="Q614"/>
      <c r="V614" s="1284"/>
      <c r="W614" s="1284"/>
      <c r="Z614"/>
      <c r="AA614"/>
      <c r="AB614"/>
      <c r="AC614"/>
    </row>
    <row r="615" spans="1:29" s="22" customFormat="1" ht="15.75">
      <c r="A615" s="446" t="s">
        <v>1755</v>
      </c>
      <c r="D615" s="477"/>
      <c r="J615" s="264"/>
      <c r="V615" s="1284"/>
      <c r="W615" s="1284"/>
      <c r="Z615"/>
      <c r="AA615"/>
      <c r="AB615"/>
      <c r="AC615"/>
    </row>
    <row r="616" spans="1:29" s="22" customFormat="1" ht="15.75">
      <c r="A616" s="22" t="s">
        <v>1756</v>
      </c>
      <c r="J616" s="264"/>
      <c r="V616" s="1284"/>
      <c r="W616" s="1284"/>
      <c r="Z616"/>
      <c r="AA616"/>
      <c r="AB616"/>
      <c r="AC616"/>
    </row>
    <row r="617" spans="1:29" s="22" customFormat="1" ht="15.75">
      <c r="A617" s="22" t="s">
        <v>1757</v>
      </c>
      <c r="J617" s="264"/>
      <c r="V617" s="1284"/>
      <c r="W617" s="1284"/>
      <c r="Z617"/>
      <c r="AA617"/>
      <c r="AB617"/>
      <c r="AC617"/>
    </row>
    <row r="618" spans="1:29" s="22" customFormat="1" ht="15.75">
      <c r="A618" s="22" t="s">
        <v>1758</v>
      </c>
      <c r="J618" s="264"/>
      <c r="V618" s="1284"/>
      <c r="W618" s="1284"/>
      <c r="Z618"/>
      <c r="AA618"/>
      <c r="AB618"/>
      <c r="AC618"/>
    </row>
    <row r="619" spans="1:29" s="22" customFormat="1" ht="15.75">
      <c r="A619" s="22" t="s">
        <v>1759</v>
      </c>
      <c r="J619" s="264"/>
      <c r="V619" s="1284"/>
      <c r="W619" s="1284"/>
      <c r="Z619"/>
      <c r="AA619"/>
      <c r="AB619"/>
      <c r="AC619"/>
    </row>
    <row r="620" spans="1:29" s="22" customFormat="1" ht="15.75">
      <c r="A620" s="22" t="s">
        <v>1760</v>
      </c>
      <c r="J620" s="264"/>
      <c r="V620" s="1284"/>
      <c r="W620" s="1284"/>
      <c r="Z620"/>
      <c r="AA620"/>
      <c r="AB620"/>
      <c r="AC620"/>
    </row>
    <row r="621" spans="1:29" s="22" customFormat="1" ht="15.75">
      <c r="J621" s="264"/>
      <c r="V621" s="1284"/>
      <c r="W621" s="1284"/>
      <c r="Z621"/>
      <c r="AA621"/>
      <c r="AB621"/>
      <c r="AC621"/>
    </row>
    <row r="622" spans="1:29" s="22" customFormat="1" ht="15.75">
      <c r="J622" s="264"/>
      <c r="V622" s="1284"/>
      <c r="W622" s="1284"/>
      <c r="Z622"/>
      <c r="AA622"/>
      <c r="AB622"/>
      <c r="AC622"/>
    </row>
    <row r="623" spans="1:29" s="22" customFormat="1" ht="48" thickBot="1">
      <c r="E623" s="629" t="s">
        <v>770</v>
      </c>
      <c r="F623" s="629" t="s">
        <v>2317</v>
      </c>
      <c r="G623" s="629" t="s">
        <v>1762</v>
      </c>
      <c r="H623" s="256"/>
      <c r="J623" s="264"/>
      <c r="V623" s="1284"/>
      <c r="W623" s="1284"/>
      <c r="Z623"/>
      <c r="AA623"/>
      <c r="AB623"/>
      <c r="AC623"/>
    </row>
    <row r="624" spans="1:29" s="22" customFormat="1" ht="26.25">
      <c r="E624" s="630" t="s">
        <v>792</v>
      </c>
      <c r="F624" s="630" t="s">
        <v>2318</v>
      </c>
      <c r="G624" s="633">
        <v>1.2197</v>
      </c>
      <c r="H624" s="259" t="s">
        <v>2319</v>
      </c>
      <c r="J624" s="264"/>
      <c r="V624" s="1284"/>
      <c r="W624" s="1284"/>
    </row>
    <row r="625" spans="1:29" s="22" customFormat="1" ht="26.25">
      <c r="E625" s="631" t="s">
        <v>793</v>
      </c>
      <c r="F625" s="631" t="s">
        <v>2320</v>
      </c>
      <c r="G625" s="631">
        <v>21.76</v>
      </c>
      <c r="H625" s="259" t="s">
        <v>2321</v>
      </c>
      <c r="J625" s="264"/>
      <c r="V625" s="1284"/>
      <c r="W625" s="1284"/>
    </row>
    <row r="626" spans="1:29" s="22" customFormat="1" ht="27" thickBot="1">
      <c r="E626" s="632" t="s">
        <v>791</v>
      </c>
      <c r="F626" s="632" t="s">
        <v>2322</v>
      </c>
      <c r="G626" s="632">
        <v>5.6535000000000002</v>
      </c>
      <c r="H626" s="259" t="s">
        <v>2323</v>
      </c>
      <c r="J626" s="264"/>
      <c r="V626" s="1284"/>
      <c r="W626" s="1284"/>
    </row>
    <row r="627" spans="1:29" s="22" customFormat="1" ht="15.75">
      <c r="E627" s="256"/>
      <c r="F627" s="256"/>
      <c r="G627" s="256"/>
      <c r="H627" s="256"/>
      <c r="J627" s="264"/>
      <c r="V627" s="1284"/>
      <c r="W627" s="1284"/>
    </row>
    <row r="628" spans="1:29" s="22" customFormat="1" ht="15.75">
      <c r="E628" s="256"/>
      <c r="F628" s="256"/>
      <c r="G628" s="256"/>
      <c r="H628" s="256"/>
      <c r="J628" s="264"/>
      <c r="V628" s="1284"/>
      <c r="W628" s="1284"/>
    </row>
    <row r="629" spans="1:29" s="22" customFormat="1" ht="15.75">
      <c r="E629" s="256"/>
      <c r="F629" s="256"/>
      <c r="G629" s="256"/>
      <c r="H629" s="256"/>
      <c r="J629" s="264"/>
      <c r="V629" s="1284"/>
      <c r="W629" s="1284"/>
    </row>
    <row r="630" spans="1:29" s="22" customFormat="1" ht="15.75">
      <c r="E630" s="256"/>
      <c r="F630" s="256"/>
      <c r="G630" s="256"/>
      <c r="H630" s="256"/>
      <c r="J630" s="264"/>
      <c r="V630" s="1284"/>
      <c r="W630" s="1284"/>
    </row>
    <row r="631" spans="1:29" s="22" customFormat="1" ht="15.75">
      <c r="J631" s="264"/>
      <c r="V631" s="1284"/>
      <c r="W631" s="1284"/>
    </row>
    <row r="632" spans="1:29" ht="15.75">
      <c r="A632" s="22"/>
      <c r="B632" s="22"/>
      <c r="C632" s="22"/>
      <c r="D632" s="22"/>
      <c r="E632" s="22"/>
      <c r="F632" s="22"/>
      <c r="G632" s="22"/>
      <c r="H632" s="22"/>
      <c r="I632" s="22"/>
      <c r="J632" s="264"/>
      <c r="K632" s="22"/>
      <c r="L632" s="22"/>
      <c r="M632" s="22"/>
      <c r="N632" s="22"/>
      <c r="O632" s="22"/>
      <c r="P632" s="22"/>
      <c r="Q632" s="22"/>
      <c r="Z632" s="22"/>
      <c r="AA632" s="22"/>
      <c r="AB632" s="22"/>
      <c r="AC632" s="22"/>
    </row>
    <row r="633" spans="1:29" ht="15.75">
      <c r="A633" s="6" t="s">
        <v>2324</v>
      </c>
      <c r="Z633" s="22"/>
      <c r="AA633" s="22"/>
      <c r="AB633" s="22"/>
      <c r="AC633" s="22"/>
    </row>
    <row r="634" spans="1:29" ht="15.75">
      <c r="Z634" s="22"/>
      <c r="AA634" s="22"/>
      <c r="AB634" s="22"/>
      <c r="AC634" s="22"/>
    </row>
    <row r="635" spans="1:29" ht="23.25">
      <c r="A635" s="1802" t="s">
        <v>1766</v>
      </c>
      <c r="B635" s="1803"/>
      <c r="C635" s="1803"/>
      <c r="D635" s="1803"/>
      <c r="E635" s="1803"/>
      <c r="F635" s="1803"/>
      <c r="G635" s="1803"/>
      <c r="H635" s="1803"/>
      <c r="I635" s="1803"/>
      <c r="J635" s="1803"/>
      <c r="K635" s="1803"/>
      <c r="L635" s="1803"/>
      <c r="M635" s="1803"/>
      <c r="N635" s="1803"/>
      <c r="O635" s="1803"/>
      <c r="P635" s="1803"/>
      <c r="Q635" s="1804"/>
      <c r="Z635" s="22"/>
      <c r="AA635" s="22"/>
      <c r="AB635" s="22"/>
      <c r="AC635" s="22"/>
    </row>
    <row r="636" spans="1:29" ht="15.75">
      <c r="Z636" s="22"/>
      <c r="AA636" s="22"/>
      <c r="AB636" s="22"/>
      <c r="AC636" s="22"/>
    </row>
    <row r="637" spans="1:29" ht="15.75">
      <c r="A637" s="6" t="s">
        <v>2325</v>
      </c>
      <c r="Z637" s="22"/>
      <c r="AA637" s="22"/>
      <c r="AB637" s="22"/>
      <c r="AC637" s="22"/>
    </row>
    <row r="638" spans="1:29" ht="16.5" thickBot="1">
      <c r="A638" s="589" t="s">
        <v>1767</v>
      </c>
      <c r="Z638" s="22"/>
      <c r="AA638" s="22"/>
      <c r="AB638" s="22"/>
      <c r="AC638" s="22"/>
    </row>
    <row r="639" spans="1:29" ht="60.75" thickBot="1">
      <c r="A639" s="597" t="s">
        <v>1768</v>
      </c>
      <c r="B639" s="598" t="s">
        <v>1769</v>
      </c>
      <c r="C639" s="598" t="s">
        <v>1770</v>
      </c>
      <c r="E639" s="93" t="s">
        <v>1771</v>
      </c>
      <c r="F639" s="89" t="s">
        <v>1772</v>
      </c>
      <c r="H639" s="1379" t="s">
        <v>2058</v>
      </c>
      <c r="Z639" s="22"/>
      <c r="AA639" s="22"/>
      <c r="AB639" s="22"/>
      <c r="AC639" s="22"/>
    </row>
    <row r="640" spans="1:29" ht="16.5" thickBot="1">
      <c r="A640" s="590" t="s">
        <v>2326</v>
      </c>
      <c r="B640" s="591">
        <v>0.90700000000000003</v>
      </c>
      <c r="C640" s="591">
        <v>0.36</v>
      </c>
      <c r="D640" t="s">
        <v>2327</v>
      </c>
      <c r="E640" s="271">
        <v>0.05</v>
      </c>
      <c r="F640" s="272">
        <v>0.02</v>
      </c>
      <c r="Z640" s="22"/>
      <c r="AA640" s="22"/>
      <c r="AB640" s="22"/>
      <c r="AC640" s="22"/>
    </row>
    <row r="641" spans="1:29" ht="16.5" thickBot="1">
      <c r="A641" s="590" t="s">
        <v>1776</v>
      </c>
      <c r="B641" s="591">
        <v>1.3</v>
      </c>
      <c r="C641" s="591">
        <v>0.33</v>
      </c>
      <c r="Z641" s="22"/>
      <c r="AA641" s="22"/>
      <c r="AB641" s="22"/>
      <c r="AC641" s="22"/>
    </row>
    <row r="642" spans="1:29" ht="15.75" thickBot="1">
      <c r="A642" s="590" t="s">
        <v>1777</v>
      </c>
      <c r="B642" s="591">
        <v>0.2</v>
      </c>
      <c r="C642" s="591">
        <v>0.39</v>
      </c>
    </row>
    <row r="643" spans="1:29">
      <c r="Y643" t="s">
        <v>2328</v>
      </c>
    </row>
    <row r="644" spans="1:29" ht="15.75" thickBot="1">
      <c r="A644" s="589" t="s">
        <v>1778</v>
      </c>
    </row>
    <row r="645" spans="1:29" ht="33" thickBot="1">
      <c r="A645" s="597" t="s">
        <v>1779</v>
      </c>
      <c r="B645" s="598" t="s">
        <v>1769</v>
      </c>
      <c r="C645" s="598" t="s">
        <v>1770</v>
      </c>
      <c r="D645" t="s">
        <v>1058</v>
      </c>
      <c r="E645" t="s">
        <v>967</v>
      </c>
    </row>
    <row r="646" spans="1:29" ht="60.75" customHeight="1" thickBot="1">
      <c r="A646" s="590" t="s">
        <v>2329</v>
      </c>
      <c r="B646" s="591">
        <v>2.1</v>
      </c>
      <c r="C646" s="591">
        <v>0.5</v>
      </c>
    </row>
    <row r="647" spans="1:29" ht="15.75" thickBot="1">
      <c r="A647" s="590" t="s">
        <v>2330</v>
      </c>
      <c r="B647" s="591">
        <v>3.48</v>
      </c>
      <c r="C647" s="591">
        <v>0.09</v>
      </c>
      <c r="D647" t="s">
        <v>723</v>
      </c>
      <c r="E647" t="s">
        <v>2287</v>
      </c>
    </row>
    <row r="648" spans="1:29" ht="15.75" thickBot="1">
      <c r="A648" s="590" t="s">
        <v>1786</v>
      </c>
      <c r="B648" s="591">
        <v>1.6</v>
      </c>
      <c r="C648" s="591">
        <v>0.24</v>
      </c>
    </row>
    <row r="649" spans="1:29" ht="15.75" thickBot="1">
      <c r="A649" s="590" t="s">
        <v>884</v>
      </c>
      <c r="B649" s="591">
        <v>0.7</v>
      </c>
      <c r="C649" s="591">
        <v>0.15</v>
      </c>
    </row>
    <row r="650" spans="1:29" ht="15.75" thickBot="1">
      <c r="A650" s="590" t="s">
        <v>1787</v>
      </c>
      <c r="B650" s="591">
        <v>2</v>
      </c>
      <c r="C650" s="591">
        <v>0.14000000000000001</v>
      </c>
    </row>
    <row r="651" spans="1:29" ht="15.75" thickBot="1">
      <c r="A651" s="590" t="s">
        <v>1789</v>
      </c>
      <c r="B651" s="591">
        <v>1.6E-2</v>
      </c>
      <c r="C651" s="591">
        <v>0.72</v>
      </c>
      <c r="D651" t="s">
        <v>2331</v>
      </c>
      <c r="E651" t="s">
        <v>2287</v>
      </c>
    </row>
    <row r="652" spans="1:29" ht="15.75" thickBot="1">
      <c r="A652" s="590" t="s">
        <v>1790</v>
      </c>
      <c r="B652" s="591">
        <v>2</v>
      </c>
      <c r="C652" s="591">
        <v>0.39</v>
      </c>
    </row>
    <row r="653" spans="1:29" ht="15.75" thickBot="1">
      <c r="A653" s="590" t="s">
        <v>2332</v>
      </c>
      <c r="B653" s="591">
        <v>3.16</v>
      </c>
      <c r="C653" s="591">
        <v>0.14000000000000001</v>
      </c>
      <c r="D653" t="s">
        <v>2331</v>
      </c>
      <c r="E653" t="s">
        <v>2287</v>
      </c>
    </row>
    <row r="654" spans="1:29" ht="30.75" thickBot="1">
      <c r="A654" s="590" t="s">
        <v>2333</v>
      </c>
      <c r="B654" s="591">
        <v>1.4999999999999999E-2</v>
      </c>
      <c r="C654" s="591">
        <v>0.42</v>
      </c>
      <c r="D654" t="s">
        <v>2331</v>
      </c>
      <c r="E654" t="s">
        <v>2287</v>
      </c>
    </row>
    <row r="656" spans="1:29" ht="15.75" thickBot="1">
      <c r="A656" s="589" t="s">
        <v>1797</v>
      </c>
    </row>
    <row r="657" spans="1:33" ht="18.75" thickBot="1">
      <c r="A657" s="652" t="s">
        <v>1798</v>
      </c>
      <c r="B657" s="653" t="s">
        <v>1799</v>
      </c>
    </row>
    <row r="658" spans="1:33" ht="15.75" thickBot="1">
      <c r="A658" s="590" t="s">
        <v>1800</v>
      </c>
      <c r="B658" s="591">
        <v>4.5999999999999999E-2</v>
      </c>
    </row>
    <row r="659" spans="1:33" ht="15.75" thickBot="1">
      <c r="A659" s="590" t="s">
        <v>1802</v>
      </c>
      <c r="B659" s="591">
        <v>2.8000000000000001E-2</v>
      </c>
    </row>
    <row r="661" spans="1:33">
      <c r="A661" s="6" t="s">
        <v>2334</v>
      </c>
    </row>
    <row r="663" spans="1:33" ht="15.75" thickBot="1"/>
    <row r="664" spans="1:33" ht="15.75" thickBot="1">
      <c r="A664" s="59"/>
      <c r="B664" s="1930" t="s">
        <v>1803</v>
      </c>
      <c r="C664" s="1931"/>
      <c r="D664" s="1931"/>
      <c r="E664" s="1931"/>
      <c r="F664" s="1931"/>
      <c r="G664" s="1932"/>
    </row>
    <row r="665" spans="1:33" ht="51.75" thickBot="1">
      <c r="A665" s="60" t="s">
        <v>868</v>
      </c>
      <c r="B665" s="61" t="s">
        <v>1804</v>
      </c>
      <c r="C665" s="61" t="s">
        <v>1805</v>
      </c>
      <c r="D665" s="61" t="s">
        <v>1806</v>
      </c>
      <c r="E665" s="61" t="s">
        <v>1807</v>
      </c>
      <c r="F665" s="61" t="s">
        <v>1808</v>
      </c>
      <c r="G665" s="62" t="s">
        <v>1809</v>
      </c>
    </row>
    <row r="666" spans="1:33">
      <c r="A666" s="63" t="s">
        <v>1810</v>
      </c>
      <c r="B666" s="64">
        <v>0.09</v>
      </c>
      <c r="C666" s="65">
        <v>0.68</v>
      </c>
      <c r="D666" s="64">
        <v>0.11</v>
      </c>
      <c r="E666" s="66" t="s">
        <v>171</v>
      </c>
      <c r="F666" s="66" t="s">
        <v>171</v>
      </c>
      <c r="G666" s="67" t="s">
        <v>171</v>
      </c>
    </row>
    <row r="667" spans="1:33">
      <c r="A667" s="2" t="s">
        <v>1811</v>
      </c>
    </row>
    <row r="669" spans="1:33" ht="23.25">
      <c r="A669" s="1929" t="s">
        <v>1812</v>
      </c>
      <c r="B669" s="1873"/>
      <c r="C669" s="1873"/>
      <c r="D669" s="1873"/>
      <c r="E669" s="1873"/>
      <c r="F669" s="1873"/>
      <c r="G669" s="1873"/>
      <c r="H669" s="1873"/>
      <c r="I669" s="1873"/>
      <c r="J669" s="1873"/>
      <c r="K669" s="1873"/>
      <c r="L669" s="1873"/>
      <c r="M669" s="1873"/>
      <c r="N669" s="1873"/>
      <c r="O669" s="1873"/>
      <c r="P669" s="1873"/>
      <c r="Q669" s="1874"/>
    </row>
    <row r="670" spans="1:33">
      <c r="A670" s="10"/>
    </row>
    <row r="671" spans="1:33" ht="75.75" thickBot="1">
      <c r="A671" s="654" t="s">
        <v>1399</v>
      </c>
      <c r="B671" s="655" t="s">
        <v>2335</v>
      </c>
      <c r="C671" s="655" t="s">
        <v>2336</v>
      </c>
      <c r="E671" s="654" t="s">
        <v>1399</v>
      </c>
      <c r="F671" s="655" t="s">
        <v>2335</v>
      </c>
      <c r="G671" s="655" t="s">
        <v>2336</v>
      </c>
      <c r="H671" s="1289" t="s">
        <v>2337</v>
      </c>
    </row>
    <row r="672" spans="1:33" ht="19.5" thickBot="1">
      <c r="A672" s="656" t="s">
        <v>1813</v>
      </c>
      <c r="B672" s="657">
        <v>0.95</v>
      </c>
      <c r="C672" s="658">
        <v>0.34</v>
      </c>
      <c r="D672" s="80"/>
      <c r="E672" s="656" t="s">
        <v>2200</v>
      </c>
      <c r="F672" s="657"/>
      <c r="G672" s="658"/>
      <c r="H672">
        <v>1296</v>
      </c>
      <c r="AC672">
        <v>4.3999999999999997E-2</v>
      </c>
      <c r="AD672" s="1296"/>
      <c r="AE672" s="1297"/>
      <c r="AF672" s="1297"/>
      <c r="AG672" s="1298"/>
    </row>
    <row r="673" spans="1:33" ht="20.25" thickTop="1" thickBot="1">
      <c r="A673" s="656" t="s">
        <v>1077</v>
      </c>
      <c r="B673" s="657">
        <v>0.95</v>
      </c>
      <c r="C673" s="658">
        <v>0.2</v>
      </c>
      <c r="D673" s="80"/>
      <c r="E673" s="656" t="s">
        <v>70</v>
      </c>
      <c r="F673" s="657"/>
      <c r="G673" s="658"/>
      <c r="H673">
        <v>1025</v>
      </c>
      <c r="AD673" s="1296"/>
      <c r="AE673" s="1297"/>
      <c r="AF673" s="1300"/>
      <c r="AG673" s="1301"/>
    </row>
    <row r="674" spans="1:33" ht="20.25" thickTop="1" thickBot="1">
      <c r="A674" s="659" t="s">
        <v>1083</v>
      </c>
      <c r="B674" s="657">
        <v>0.95</v>
      </c>
      <c r="C674" s="660">
        <v>0.11</v>
      </c>
      <c r="D674" s="80" t="s">
        <v>2338</v>
      </c>
      <c r="E674" s="659" t="s">
        <v>1083</v>
      </c>
      <c r="F674" s="657"/>
      <c r="G674" s="660"/>
      <c r="H674">
        <v>124</v>
      </c>
      <c r="AD674" s="1296"/>
      <c r="AE674" s="1297"/>
      <c r="AF674" s="1300"/>
      <c r="AG674" s="1301"/>
    </row>
    <row r="675" spans="1:33" ht="15.75" thickTop="1">
      <c r="AD675" s="1296"/>
      <c r="AE675" s="1297"/>
      <c r="AF675" s="1300"/>
      <c r="AG675" s="1301"/>
    </row>
    <row r="676" spans="1:33" s="6" customFormat="1">
      <c r="A676" s="6" t="s">
        <v>2339</v>
      </c>
      <c r="B676"/>
      <c r="C676"/>
      <c r="D676"/>
      <c r="E676"/>
      <c r="F676" s="10" t="s">
        <v>2340</v>
      </c>
      <c r="G676"/>
      <c r="H676"/>
      <c r="I676"/>
      <c r="J676"/>
      <c r="K676"/>
      <c r="L676"/>
      <c r="M676"/>
      <c r="N676"/>
      <c r="O676"/>
      <c r="P676"/>
      <c r="Q676"/>
      <c r="V676" s="1286"/>
      <c r="W676" s="1286"/>
      <c r="Z676"/>
      <c r="AA676"/>
      <c r="AB676"/>
      <c r="AC676"/>
      <c r="AD676" s="1296"/>
      <c r="AE676" s="1297"/>
      <c r="AF676" s="1300"/>
      <c r="AG676" s="1301"/>
    </row>
    <row r="677" spans="1:33" ht="15.75" thickBot="1">
      <c r="A677" s="6" t="s">
        <v>2341</v>
      </c>
      <c r="B677" s="6"/>
      <c r="C677" s="6"/>
      <c r="D677" s="6"/>
      <c r="E677" s="6"/>
      <c r="F677" s="6"/>
      <c r="G677" s="6"/>
      <c r="H677" s="6"/>
      <c r="I677" s="6"/>
      <c r="J677" s="6"/>
      <c r="K677" s="6"/>
      <c r="L677" s="6"/>
      <c r="M677" s="6"/>
      <c r="N677" s="6"/>
      <c r="O677" s="6"/>
      <c r="P677" s="6"/>
      <c r="Q677" s="6"/>
      <c r="AD677" s="1296"/>
      <c r="AE677" s="1297"/>
      <c r="AF677" s="1300"/>
      <c r="AG677" s="1301"/>
    </row>
    <row r="678" spans="1:33" ht="15.75" thickBot="1">
      <c r="A678" s="579" t="s">
        <v>1396</v>
      </c>
      <c r="B678" s="580" t="s">
        <v>2342</v>
      </c>
      <c r="D678" s="610" t="s">
        <v>1399</v>
      </c>
      <c r="E678" s="611" t="s">
        <v>1400</v>
      </c>
      <c r="F678" s="610" t="s">
        <v>1401</v>
      </c>
      <c r="AD678" s="1296"/>
      <c r="AE678" s="1297"/>
      <c r="AF678" s="1300"/>
      <c r="AG678" s="1301"/>
    </row>
    <row r="679" spans="1:33">
      <c r="A679" s="582" t="s">
        <v>72</v>
      </c>
      <c r="B679" s="583">
        <f>B93</f>
        <v>1296</v>
      </c>
      <c r="D679" s="612" t="s">
        <v>1402</v>
      </c>
      <c r="E679" s="583">
        <f t="shared" ref="E679:F681" si="3">E93</f>
        <v>22.5</v>
      </c>
      <c r="F679" s="583">
        <f t="shared" si="3"/>
        <v>9.5657399999999999</v>
      </c>
      <c r="AB679">
        <v>2.8316999999999998E-2</v>
      </c>
      <c r="AD679" s="1296"/>
      <c r="AE679" s="1297"/>
      <c r="AF679" s="1300"/>
      <c r="AG679" s="1301"/>
    </row>
    <row r="680" spans="1:33">
      <c r="A680" s="585" t="s">
        <v>70</v>
      </c>
      <c r="B680" s="583">
        <f>B94</f>
        <v>1025</v>
      </c>
      <c r="D680" s="612" t="s">
        <v>1403</v>
      </c>
      <c r="E680" s="583">
        <f t="shared" si="3"/>
        <v>16.2</v>
      </c>
      <c r="F680" s="583">
        <f t="shared" si="3"/>
        <v>6.8873328000000003</v>
      </c>
      <c r="AD680" s="1296"/>
      <c r="AE680" s="1297"/>
      <c r="AF680" s="1300"/>
      <c r="AG680" s="1301"/>
    </row>
    <row r="681" spans="1:33" ht="15.75" thickBot="1">
      <c r="A681" s="605" t="s">
        <v>68</v>
      </c>
      <c r="B681" s="583">
        <f>B95</f>
        <v>586</v>
      </c>
      <c r="D681" s="612" t="s">
        <v>1404</v>
      </c>
      <c r="E681" s="583">
        <f t="shared" si="3"/>
        <v>8.8000000000000007</v>
      </c>
      <c r="F681" s="583">
        <f t="shared" si="3"/>
        <v>3.7412672000000007</v>
      </c>
      <c r="AD681" s="1296"/>
      <c r="AE681" s="1297"/>
      <c r="AF681" s="1300"/>
      <c r="AG681" s="1301"/>
    </row>
    <row r="682" spans="1:33" ht="15.75" thickBot="1">
      <c r="A682" s="606"/>
      <c r="B682" s="607"/>
      <c r="Y682" s="1291" t="s">
        <v>1821</v>
      </c>
      <c r="Z682" s="1292" t="s">
        <v>1822</v>
      </c>
      <c r="AA682" s="1293" t="s">
        <v>1340</v>
      </c>
      <c r="AB682" s="1294"/>
      <c r="AC682" s="1295"/>
      <c r="AD682" s="1296"/>
      <c r="AE682" s="1297"/>
      <c r="AF682" s="1297"/>
      <c r="AG682" s="1301"/>
    </row>
    <row r="683" spans="1:33">
      <c r="A683" t="s">
        <v>1405</v>
      </c>
      <c r="B683" s="609"/>
      <c r="D683" s="167" t="s">
        <v>1406</v>
      </c>
      <c r="Y683" s="582" t="s">
        <v>1825</v>
      </c>
      <c r="Z683" s="583">
        <f>8.31*0.26417</f>
        <v>2.1952527000000002</v>
      </c>
      <c r="AA683" s="584" t="s">
        <v>1826</v>
      </c>
      <c r="AB683" s="1299"/>
      <c r="AC683" s="1296"/>
      <c r="AD683" s="1311"/>
      <c r="AE683" s="1311"/>
      <c r="AF683" s="1311"/>
      <c r="AG683" s="1310"/>
    </row>
    <row r="684" spans="1:33" s="6" customFormat="1" ht="15" customHeight="1">
      <c r="A684" s="213" t="s">
        <v>2343</v>
      </c>
      <c r="B684" s="609"/>
      <c r="C684"/>
      <c r="D684"/>
      <c r="E684"/>
      <c r="F684"/>
      <c r="G684"/>
      <c r="H684"/>
      <c r="I684"/>
      <c r="J684"/>
      <c r="K684"/>
      <c r="L684"/>
      <c r="M684"/>
      <c r="N684"/>
      <c r="O684"/>
      <c r="P684"/>
      <c r="Q684"/>
      <c r="V684" s="1286"/>
      <c r="W684" s="1286"/>
      <c r="Y684" s="1302" t="s">
        <v>1828</v>
      </c>
      <c r="Z684" s="1303">
        <f>9.45*0.26417</f>
        <v>2.4964065</v>
      </c>
      <c r="AA684" s="1304" t="s">
        <v>1829</v>
      </c>
      <c r="AB684" s="1296"/>
      <c r="AC684">
        <v>0.26417000000000002</v>
      </c>
      <c r="AD684" s="1312"/>
      <c r="AE684" s="1312"/>
      <c r="AF684" s="1312"/>
      <c r="AG684" s="1312"/>
    </row>
    <row r="685" spans="1:33" ht="25.5">
      <c r="A685" s="6"/>
      <c r="B685" s="6"/>
      <c r="C685" s="6"/>
      <c r="D685" s="6"/>
      <c r="E685" s="6"/>
      <c r="F685" s="6"/>
      <c r="G685" s="6"/>
      <c r="H685" s="6"/>
      <c r="I685" s="6"/>
      <c r="J685" s="6"/>
      <c r="K685" s="6"/>
      <c r="L685" s="6"/>
      <c r="M685" s="6"/>
      <c r="N685" s="6"/>
      <c r="O685" s="6"/>
      <c r="P685" s="6"/>
      <c r="Q685" s="6"/>
      <c r="Y685" s="585" t="s">
        <v>1834</v>
      </c>
      <c r="Z685" s="588">
        <f>0.05444*0.028317</f>
        <v>1.54157748E-3</v>
      </c>
      <c r="AA685" s="587" t="s">
        <v>1835</v>
      </c>
      <c r="AB685" s="1296"/>
      <c r="AC685" s="1296"/>
      <c r="AD685" s="1301"/>
      <c r="AE685" s="1301"/>
      <c r="AF685" s="1301"/>
      <c r="AG685" s="1294"/>
    </row>
    <row r="686" spans="1:33" ht="15.75" thickBot="1">
      <c r="A686" s="276" t="s">
        <v>1817</v>
      </c>
      <c r="Y686" s="1302" t="s">
        <v>1837</v>
      </c>
      <c r="Z686" s="1303">
        <f>10.21*0.26417</f>
        <v>2.6971757000000003</v>
      </c>
      <c r="AA686" s="1304" t="s">
        <v>1826</v>
      </c>
      <c r="AB686" s="1296"/>
      <c r="AC686" s="1296"/>
      <c r="AD686" s="1312"/>
      <c r="AE686" s="1312"/>
      <c r="AF686" s="1312"/>
      <c r="AG686" s="1312"/>
    </row>
    <row r="687" spans="1:33" ht="15" customHeight="1">
      <c r="A687" s="1926" t="s">
        <v>1308</v>
      </c>
      <c r="B687" s="661" t="s">
        <v>1818</v>
      </c>
      <c r="C687" s="1850" t="s">
        <v>1819</v>
      </c>
      <c r="D687" s="1851"/>
      <c r="E687" s="2153"/>
      <c r="Y687" s="585" t="s">
        <v>1838</v>
      </c>
      <c r="Z687" s="586">
        <f>5.75*0.26417</f>
        <v>1.5189775000000001</v>
      </c>
      <c r="AA687" s="587" t="s">
        <v>1826</v>
      </c>
      <c r="AB687" s="1296"/>
      <c r="AC687" s="1296">
        <f>1/0.26417</f>
        <v>3.7854411931710636</v>
      </c>
      <c r="AD687" s="1314"/>
      <c r="AE687" s="1314"/>
      <c r="AF687" s="1314"/>
      <c r="AG687" s="1314"/>
    </row>
    <row r="688" spans="1:33" ht="15.75" customHeight="1">
      <c r="A688" s="1927"/>
      <c r="B688" s="662" t="s">
        <v>1823</v>
      </c>
      <c r="C688" s="1852" t="s">
        <v>1824</v>
      </c>
      <c r="D688" s="1853"/>
      <c r="E688" s="2154"/>
      <c r="Y688" s="585" t="s">
        <v>1840</v>
      </c>
      <c r="Z688" s="586">
        <f>9.75*0.26417</f>
        <v>2.5756575000000002</v>
      </c>
      <c r="AA688" s="587" t="s">
        <v>1826</v>
      </c>
      <c r="AB688" s="1296"/>
      <c r="AC688" s="1296"/>
      <c r="AD688" s="1314"/>
      <c r="AE688" s="1314"/>
      <c r="AF688" s="1314"/>
      <c r="AG688" s="1314"/>
    </row>
    <row r="689" spans="1:29" ht="15.75" thickBot="1">
      <c r="A689" s="1927"/>
      <c r="B689" s="663"/>
      <c r="C689" s="1854" t="s">
        <v>1827</v>
      </c>
      <c r="D689" s="1855"/>
      <c r="E689" s="2155"/>
      <c r="Y689" s="1305" t="s">
        <v>1843</v>
      </c>
      <c r="Z689" s="586">
        <f>4.5*0.26417</f>
        <v>1.1887650000000001</v>
      </c>
      <c r="AA689" s="587" t="s">
        <v>1826</v>
      </c>
      <c r="AB689" s="1301"/>
      <c r="AC689" s="1296"/>
    </row>
    <row r="690" spans="1:29" ht="26.25" thickBot="1">
      <c r="A690" s="1928"/>
      <c r="B690" s="664"/>
      <c r="C690" s="665" t="s">
        <v>1830</v>
      </c>
      <c r="D690" s="665" t="s">
        <v>1831</v>
      </c>
      <c r="E690" s="665" t="s">
        <v>1832</v>
      </c>
      <c r="Y690" s="1302" t="s">
        <v>1846</v>
      </c>
      <c r="Z690" s="1303">
        <f>5.68*0.26417</f>
        <v>1.5004856</v>
      </c>
      <c r="AA690" s="1304" t="s">
        <v>1826</v>
      </c>
      <c r="AB690" s="1296"/>
      <c r="AC690" s="1306"/>
    </row>
    <row r="691" spans="1:29" ht="23.25" thickBot="1">
      <c r="A691" s="280" t="s">
        <v>1836</v>
      </c>
      <c r="B691" s="281">
        <v>38.799999999999997</v>
      </c>
      <c r="C691" s="281">
        <v>13.9</v>
      </c>
      <c r="D691" s="281">
        <v>0</v>
      </c>
      <c r="E691" s="281">
        <v>0</v>
      </c>
      <c r="Y691" s="1302" t="s">
        <v>1849</v>
      </c>
      <c r="Z691" s="1303">
        <f>8.78*0.26417</f>
        <v>2.3194126000000002</v>
      </c>
      <c r="AA691" s="1304" t="s">
        <v>1826</v>
      </c>
      <c r="AB691" s="1296"/>
      <c r="AC691" s="1296"/>
    </row>
    <row r="692" spans="1:29" ht="15.75" thickBot="1">
      <c r="A692" s="280" t="s">
        <v>1357</v>
      </c>
      <c r="B692" s="281">
        <v>38.799999999999997</v>
      </c>
      <c r="C692" s="281">
        <v>3.5</v>
      </c>
      <c r="D692" s="281">
        <v>0</v>
      </c>
      <c r="E692" s="281">
        <v>0</v>
      </c>
      <c r="Y692" s="1307" t="s">
        <v>1851</v>
      </c>
      <c r="Z692" s="1308">
        <f>11.27*0.26417</f>
        <v>2.9771958999999999</v>
      </c>
      <c r="AA692" s="587" t="s">
        <v>1826</v>
      </c>
      <c r="AB692" s="1296"/>
      <c r="AC692" s="1296"/>
    </row>
    <row r="693" spans="1:29" ht="15.75" thickBot="1">
      <c r="A693" s="280" t="s">
        <v>1358</v>
      </c>
      <c r="B693" s="281" t="s">
        <v>1359</v>
      </c>
      <c r="C693" s="281">
        <v>69.599999999999994</v>
      </c>
      <c r="D693" s="281">
        <v>0.08</v>
      </c>
      <c r="E693" s="281">
        <v>0.2</v>
      </c>
      <c r="Y693" s="1309" t="s">
        <v>1854</v>
      </c>
      <c r="Z693" s="1310"/>
      <c r="AA693" s="1310"/>
      <c r="AB693" s="1311"/>
      <c r="AC693" s="1311"/>
    </row>
    <row r="694" spans="1:29" ht="73.5" thickBot="1">
      <c r="A694" s="280" t="s">
        <v>1842</v>
      </c>
      <c r="B694" s="281" t="s">
        <v>1363</v>
      </c>
      <c r="C694" s="281">
        <v>61</v>
      </c>
      <c r="D694" s="281">
        <v>0.08</v>
      </c>
      <c r="E694" s="281">
        <v>0.2</v>
      </c>
      <c r="Y694" s="1312" t="s">
        <v>1856</v>
      </c>
      <c r="Z694" s="1312"/>
      <c r="AA694" s="1312"/>
      <c r="AB694" s="1312"/>
      <c r="AC694" s="1312"/>
    </row>
    <row r="695" spans="1:29" ht="23.25" thickBot="1">
      <c r="A695" s="666" t="s">
        <v>1845</v>
      </c>
      <c r="B695" s="667">
        <v>34.200000000000003</v>
      </c>
      <c r="C695" s="667">
        <v>67.400000000000006</v>
      </c>
      <c r="D695" s="667">
        <v>0.2</v>
      </c>
      <c r="E695" s="667">
        <v>0.2</v>
      </c>
      <c r="Y695" s="1313" t="s">
        <v>1859</v>
      </c>
      <c r="Z695" s="1301"/>
      <c r="AA695" s="1301"/>
      <c r="AB695" s="1301"/>
      <c r="AC695" s="1301"/>
    </row>
    <row r="696" spans="1:29" ht="15.75" thickBot="1">
      <c r="A696" s="280" t="s">
        <v>1848</v>
      </c>
      <c r="B696" s="281">
        <v>33.1</v>
      </c>
      <c r="C696" s="281">
        <v>67</v>
      </c>
      <c r="D696" s="281">
        <v>0.2</v>
      </c>
      <c r="E696" s="281">
        <v>0.2</v>
      </c>
      <c r="Y696" s="1312" t="s">
        <v>1861</v>
      </c>
      <c r="Z696" s="1312"/>
      <c r="AA696" s="1312"/>
      <c r="AB696" s="1312"/>
      <c r="AC696" s="1312"/>
    </row>
    <row r="697" spans="1:29" ht="86.25" thickBot="1">
      <c r="A697" s="280" t="s">
        <v>1366</v>
      </c>
      <c r="B697" s="281">
        <v>37.5</v>
      </c>
      <c r="C697" s="281">
        <v>68.900000000000006</v>
      </c>
      <c r="D697" s="281">
        <v>0.01</v>
      </c>
      <c r="E697" s="281">
        <v>0.2</v>
      </c>
      <c r="Y697" s="1314" t="s">
        <v>1863</v>
      </c>
      <c r="Z697" s="1314"/>
      <c r="AA697" s="1314"/>
      <c r="AB697" s="1314"/>
      <c r="AC697" s="1314"/>
    </row>
    <row r="698" spans="1:29" ht="23.25" thickBot="1">
      <c r="A698" s="280" t="s">
        <v>1853</v>
      </c>
      <c r="B698" s="281">
        <v>36.799999999999997</v>
      </c>
      <c r="C698" s="281">
        <v>69.599999999999994</v>
      </c>
      <c r="D698" s="281">
        <v>0.02</v>
      </c>
      <c r="E698" s="281">
        <v>0.2</v>
      </c>
      <c r="Y698" s="1315" t="s">
        <v>1865</v>
      </c>
      <c r="Z698" s="1314"/>
      <c r="AA698" s="1314"/>
      <c r="AB698" s="1314"/>
      <c r="AC698" s="1314"/>
    </row>
    <row r="699" spans="1:29" ht="15.75" thickBot="1">
      <c r="A699" s="280" t="s">
        <v>1369</v>
      </c>
      <c r="B699" s="281">
        <v>37.299999999999997</v>
      </c>
      <c r="C699" s="281">
        <v>69.5</v>
      </c>
      <c r="D699" s="281">
        <v>0.03</v>
      </c>
      <c r="E699" s="281">
        <v>0.2</v>
      </c>
      <c r="Y699" t="s">
        <v>1868</v>
      </c>
    </row>
    <row r="700" spans="1:29" ht="15.75" thickBot="1">
      <c r="A700" s="280" t="s">
        <v>1858</v>
      </c>
      <c r="B700" s="281">
        <v>38.6</v>
      </c>
      <c r="C700" s="281">
        <v>69.900000000000006</v>
      </c>
      <c r="D700" s="281">
        <v>0.1</v>
      </c>
      <c r="E700" s="281">
        <v>0.2</v>
      </c>
    </row>
    <row r="701" spans="1:29" ht="15.75" thickBot="1">
      <c r="A701" s="280" t="s">
        <v>1372</v>
      </c>
      <c r="B701" s="281">
        <v>39.700000000000003</v>
      </c>
      <c r="C701" s="281">
        <v>73.599999999999994</v>
      </c>
      <c r="D701" s="281">
        <v>0.04</v>
      </c>
      <c r="E701" s="281">
        <v>0.2</v>
      </c>
    </row>
    <row r="702" spans="1:29" ht="15.75" thickBot="1">
      <c r="A702" s="280" t="s">
        <v>1374</v>
      </c>
      <c r="B702" s="281">
        <v>34.4</v>
      </c>
      <c r="C702" s="281">
        <v>69.7</v>
      </c>
      <c r="D702" s="281">
        <v>0.03</v>
      </c>
      <c r="E702" s="281">
        <v>0.2</v>
      </c>
    </row>
    <row r="703" spans="1:29" ht="15.75" thickBot="1">
      <c r="A703" s="280" t="s">
        <v>1376</v>
      </c>
      <c r="B703" s="281">
        <v>34.4</v>
      </c>
      <c r="C703" s="281">
        <v>69.7</v>
      </c>
      <c r="D703" s="281">
        <v>0.03</v>
      </c>
      <c r="E703" s="281">
        <v>0.2</v>
      </c>
    </row>
    <row r="704" spans="1:29" ht="15.75" thickBot="1">
      <c r="A704" s="280" t="s">
        <v>1867</v>
      </c>
      <c r="B704" s="281">
        <v>25.7</v>
      </c>
      <c r="C704" s="281">
        <v>60.2</v>
      </c>
      <c r="D704" s="281">
        <v>0.2</v>
      </c>
      <c r="E704" s="281">
        <v>0.2</v>
      </c>
    </row>
    <row r="705" spans="1:31" ht="15.75" thickBot="1">
      <c r="A705" s="280" t="s">
        <v>1378</v>
      </c>
      <c r="B705" s="281">
        <v>31.4</v>
      </c>
      <c r="C705" s="281">
        <v>69.8</v>
      </c>
      <c r="D705" s="281">
        <v>0.01</v>
      </c>
      <c r="E705" s="281">
        <v>0.01</v>
      </c>
    </row>
    <row r="706" spans="1:31" ht="15.75" thickBot="1">
      <c r="A706" s="280" t="s">
        <v>1380</v>
      </c>
      <c r="B706" s="281" t="s">
        <v>1381</v>
      </c>
      <c r="C706" s="281">
        <v>92.6</v>
      </c>
      <c r="D706" s="281">
        <v>0.08</v>
      </c>
      <c r="E706" s="281">
        <v>0.2</v>
      </c>
    </row>
    <row r="707" spans="1:31" ht="15.75" thickBot="1">
      <c r="A707" s="280" t="s">
        <v>1382</v>
      </c>
      <c r="B707" s="281" t="s">
        <v>1383</v>
      </c>
      <c r="C707" s="281">
        <v>54.7</v>
      </c>
      <c r="D707" s="281">
        <v>0.03</v>
      </c>
      <c r="E707" s="281">
        <v>0.03</v>
      </c>
    </row>
    <row r="708" spans="1:31" ht="15.75" thickBot="1">
      <c r="A708" s="280" t="s">
        <v>1384</v>
      </c>
      <c r="B708" s="281" t="s">
        <v>1381</v>
      </c>
      <c r="C708" s="281">
        <v>92.6</v>
      </c>
      <c r="D708" s="281">
        <v>0.08</v>
      </c>
      <c r="E708" s="281">
        <v>0.2</v>
      </c>
    </row>
    <row r="709" spans="1:31" ht="23.25" thickBot="1">
      <c r="A709" s="280" t="s">
        <v>1385</v>
      </c>
      <c r="B709" s="281">
        <v>34.4</v>
      </c>
      <c r="C709" s="281">
        <v>69.8</v>
      </c>
      <c r="D709" s="281">
        <v>0.02</v>
      </c>
      <c r="E709" s="281">
        <v>0.1</v>
      </c>
    </row>
    <row r="710" spans="1:31" ht="15.75" thickBot="1">
      <c r="A710" s="280" t="s">
        <v>1875</v>
      </c>
      <c r="B710" s="281">
        <v>34.6</v>
      </c>
      <c r="C710" s="281">
        <v>0</v>
      </c>
      <c r="D710" s="281">
        <v>0.08</v>
      </c>
      <c r="E710" s="281">
        <v>0.2</v>
      </c>
    </row>
    <row r="711" spans="1:31" ht="23.25" thickBot="1">
      <c r="A711" s="280" t="s">
        <v>1388</v>
      </c>
      <c r="B711" s="281">
        <v>23.4</v>
      </c>
      <c r="C711" s="281">
        <v>0</v>
      </c>
      <c r="D711" s="281">
        <v>0.08</v>
      </c>
      <c r="E711" s="281">
        <v>0.2</v>
      </c>
    </row>
    <row r="712" spans="1:31" ht="23.25" thickBot="1">
      <c r="A712" s="280" t="s">
        <v>1878</v>
      </c>
      <c r="B712" s="281">
        <v>23.4</v>
      </c>
      <c r="C712" s="281">
        <v>0</v>
      </c>
      <c r="D712" s="281">
        <v>0.08</v>
      </c>
      <c r="E712" s="281">
        <v>0.2</v>
      </c>
    </row>
    <row r="713" spans="1:31">
      <c r="A713" s="250" t="s">
        <v>2271</v>
      </c>
      <c r="B713" s="279"/>
      <c r="C713" s="279"/>
    </row>
    <row r="714" spans="1:31">
      <c r="A714" s="250"/>
      <c r="B714" s="279"/>
      <c r="C714" s="279"/>
    </row>
    <row r="715" spans="1:31" ht="18">
      <c r="A715" s="6" t="s">
        <v>2312</v>
      </c>
      <c r="B715" s="25"/>
      <c r="C715" s="25"/>
      <c r="D715" s="25"/>
      <c r="E715" s="25"/>
      <c r="F715" s="25"/>
      <c r="G715" s="25"/>
      <c r="H715" s="25"/>
      <c r="I715" s="25"/>
      <c r="L715" t="s">
        <v>1883</v>
      </c>
      <c r="Y715" s="1274" t="s">
        <v>1613</v>
      </c>
      <c r="AD715" s="172" t="s">
        <v>1616</v>
      </c>
      <c r="AE715" s="172" t="s">
        <v>1617</v>
      </c>
    </row>
    <row r="716" spans="1:31" ht="18">
      <c r="A716" s="1809" t="s">
        <v>1613</v>
      </c>
      <c r="B716" s="1810"/>
      <c r="C716" s="170" t="s">
        <v>1340</v>
      </c>
      <c r="D716" s="171" t="s">
        <v>1614</v>
      </c>
      <c r="E716" s="172" t="s">
        <v>1615</v>
      </c>
      <c r="F716" s="172" t="s">
        <v>1616</v>
      </c>
      <c r="G716" s="172" t="s">
        <v>1617</v>
      </c>
      <c r="S716" s="179"/>
      <c r="Y716" s="1805" t="s">
        <v>2344</v>
      </c>
      <c r="AD716" s="175"/>
      <c r="AE716" s="175"/>
    </row>
    <row r="717" spans="1:31">
      <c r="A717" s="1805" t="s">
        <v>2344</v>
      </c>
      <c r="B717" s="173" t="s">
        <v>72</v>
      </c>
      <c r="C717" s="173" t="s">
        <v>1637</v>
      </c>
      <c r="D717" s="174">
        <v>0.26465659660708307</v>
      </c>
      <c r="E717" s="175">
        <v>0.25306740115826976</v>
      </c>
      <c r="F717" s="175">
        <v>2.9794597211813567E-3</v>
      </c>
      <c r="G717" s="175">
        <v>8.6097357276319463E-3</v>
      </c>
      <c r="S717" s="182"/>
      <c r="T717" s="165"/>
      <c r="Y717" s="1806"/>
      <c r="AD717" s="176"/>
      <c r="AE717" s="232"/>
    </row>
    <row r="718" spans="1:31">
      <c r="A718" s="1806"/>
      <c r="B718" s="173" t="s">
        <v>70</v>
      </c>
      <c r="C718" s="173" t="s">
        <v>1637</v>
      </c>
      <c r="D718" s="174">
        <v>0.2702119459034516</v>
      </c>
      <c r="E718" s="175">
        <v>0.26562533940604049</v>
      </c>
      <c r="F718" s="176">
        <v>3.5500050289559562E-4</v>
      </c>
      <c r="G718" s="232">
        <v>4.2316059945154997E-3</v>
      </c>
      <c r="S718" s="182"/>
      <c r="T718" s="165"/>
      <c r="Y718" s="1806"/>
      <c r="AD718" s="175"/>
      <c r="AE718" s="175"/>
    </row>
    <row r="719" spans="1:31">
      <c r="A719" s="1806"/>
      <c r="B719" s="173" t="s">
        <v>1077</v>
      </c>
      <c r="C719" s="173" t="s">
        <v>1637</v>
      </c>
      <c r="D719" s="174">
        <v>0.20139081670323039</v>
      </c>
      <c r="E719" s="175">
        <v>0.19257200180765863</v>
      </c>
      <c r="F719" s="175">
        <v>2.2672241473501733E-3</v>
      </c>
      <c r="G719" s="175">
        <v>6.5515907482215918E-3</v>
      </c>
      <c r="S719" s="182"/>
      <c r="T719" s="165"/>
      <c r="Y719" s="1806"/>
      <c r="AD719" s="176"/>
      <c r="AE719" s="175"/>
    </row>
    <row r="720" spans="1:31">
      <c r="A720" s="1806"/>
      <c r="B720" s="173" t="s">
        <v>1078</v>
      </c>
      <c r="C720" s="173" t="s">
        <v>1637</v>
      </c>
      <c r="D720" s="174">
        <v>0.24222570864916576</v>
      </c>
      <c r="E720" s="175">
        <v>0.23811414353898652</v>
      </c>
      <c r="F720" s="176">
        <v>3.1823259366712349E-4</v>
      </c>
      <c r="G720" s="175">
        <v>3.7933325165121112E-3</v>
      </c>
      <c r="S720" s="182"/>
      <c r="T720" s="165"/>
      <c r="Y720" s="1806"/>
      <c r="AD720" s="175"/>
      <c r="AE720" s="233"/>
    </row>
    <row r="721" spans="1:31">
      <c r="A721" s="1806"/>
      <c r="B721" s="173" t="s">
        <v>1079</v>
      </c>
      <c r="C721" s="173" t="s">
        <v>1637</v>
      </c>
      <c r="D721" s="174">
        <v>9.5709340974813109E-2</v>
      </c>
      <c r="E721" s="175">
        <v>9.1518271214776223E-2</v>
      </c>
      <c r="F721" s="175">
        <v>1.0774797606825878E-3</v>
      </c>
      <c r="G721" s="233">
        <v>3.1135899993542902E-3</v>
      </c>
      <c r="S721" s="182"/>
      <c r="T721" s="165"/>
      <c r="Y721" s="1806"/>
      <c r="AD721" s="175"/>
      <c r="AE721" s="191"/>
    </row>
    <row r="722" spans="1:31">
      <c r="A722" s="1806"/>
      <c r="B722" s="173" t="s">
        <v>1080</v>
      </c>
      <c r="C722" s="173" t="s">
        <v>1637</v>
      </c>
      <c r="D722" s="174">
        <v>1.2261607162235328E-2</v>
      </c>
      <c r="E722" s="175">
        <v>1.1776042036317838E-2</v>
      </c>
      <c r="F722" s="175">
        <v>4.6873987196406478E-4</v>
      </c>
      <c r="G722" s="191">
        <v>1.6825253953425731E-5</v>
      </c>
      <c r="S722" s="182"/>
      <c r="T722" s="165"/>
      <c r="Y722" s="1806"/>
      <c r="AD722" s="176"/>
      <c r="AE722" s="175"/>
    </row>
    <row r="723" spans="1:31">
      <c r="A723" s="1806"/>
      <c r="B723" s="173" t="s">
        <v>1081</v>
      </c>
      <c r="C723" s="173" t="s">
        <v>1637</v>
      </c>
      <c r="D723" s="174">
        <v>0.11572256077982236</v>
      </c>
      <c r="E723" s="175">
        <v>0.11375827364442151</v>
      </c>
      <c r="F723" s="176">
        <v>1.5203460800316271E-4</v>
      </c>
      <c r="G723" s="175">
        <v>1.8122525273976992E-3</v>
      </c>
      <c r="S723" s="182"/>
      <c r="T723" s="165"/>
      <c r="Y723" s="1806"/>
      <c r="AD723" s="175"/>
      <c r="AE723" s="191"/>
    </row>
    <row r="724" spans="1:31">
      <c r="A724" s="1806"/>
      <c r="B724" s="173" t="s">
        <v>1082</v>
      </c>
      <c r="C724" s="173" t="s">
        <v>1637</v>
      </c>
      <c r="D724" s="174">
        <v>1.2307062964487865E-2</v>
      </c>
      <c r="E724" s="175">
        <v>1.1819697768477409E-2</v>
      </c>
      <c r="F724" s="175">
        <v>4.7047756806262365E-4</v>
      </c>
      <c r="G724" s="191">
        <v>1.6887627947832529E-5</v>
      </c>
      <c r="S724" s="182"/>
      <c r="T724" s="165"/>
      <c r="Y724" s="1807"/>
      <c r="AD724" s="175"/>
      <c r="AE724" s="191"/>
    </row>
    <row r="725" spans="1:31" ht="18">
      <c r="A725" s="1807"/>
      <c r="B725" s="173" t="s">
        <v>1083</v>
      </c>
      <c r="C725" s="173" t="s">
        <v>1637</v>
      </c>
      <c r="D725" s="174">
        <v>2.5723651389304884E-2</v>
      </c>
      <c r="E725" s="175">
        <v>2.4704983292974481E-2</v>
      </c>
      <c r="F725" s="175">
        <v>9.8337036076377228E-4</v>
      </c>
      <c r="G725" s="191">
        <v>3.5297735566627408E-5</v>
      </c>
      <c r="S725" s="182"/>
      <c r="T725" s="165"/>
      <c r="Y725" s="1805" t="s">
        <v>1887</v>
      </c>
      <c r="Z725" s="1270"/>
      <c r="AA725" s="170" t="s">
        <v>1340</v>
      </c>
      <c r="AB725" s="171" t="s">
        <v>1614</v>
      </c>
      <c r="AC725" s="172" t="s">
        <v>1615</v>
      </c>
      <c r="AD725" s="175"/>
      <c r="AE725" s="175"/>
    </row>
    <row r="726" spans="1:31">
      <c r="A726" s="1805" t="s">
        <v>1887</v>
      </c>
      <c r="B726" s="173" t="s">
        <v>72</v>
      </c>
      <c r="C726" s="173" t="s">
        <v>1637</v>
      </c>
      <c r="D726" s="174">
        <v>0.21070874111622362</v>
      </c>
      <c r="E726" s="175">
        <v>0.20148189842696052</v>
      </c>
      <c r="F726" s="175">
        <v>2.3721237826868375E-3</v>
      </c>
      <c r="G726" s="175">
        <v>6.8547189065762681E-3</v>
      </c>
      <c r="S726" s="182"/>
      <c r="T726" s="165"/>
      <c r="Y726" s="1806"/>
      <c r="Z726" s="173" t="s">
        <v>72</v>
      </c>
      <c r="AA726" s="173" t="s">
        <v>1637</v>
      </c>
      <c r="AB726" s="174"/>
      <c r="AC726" s="175"/>
      <c r="AD726" s="176"/>
      <c r="AE726" s="175"/>
    </row>
    <row r="727" spans="1:31">
      <c r="A727" s="1806"/>
      <c r="B727" s="173" t="s">
        <v>70</v>
      </c>
      <c r="C727" s="173" t="s">
        <v>1637</v>
      </c>
      <c r="D727" s="174">
        <v>0.2015891509280674</v>
      </c>
      <c r="E727" s="175">
        <v>0.19816735509900874</v>
      </c>
      <c r="F727" s="176">
        <v>2.6484487841011442E-4</v>
      </c>
      <c r="G727" s="175">
        <v>3.1569509506485637E-3</v>
      </c>
      <c r="S727" s="182"/>
      <c r="T727" s="165"/>
      <c r="Y727" s="1806"/>
      <c r="Z727" s="173" t="s">
        <v>70</v>
      </c>
      <c r="AA727" s="173" t="s">
        <v>1637</v>
      </c>
      <c r="AB727" s="174"/>
      <c r="AC727" s="175"/>
      <c r="AD727" s="175"/>
      <c r="AE727" s="175"/>
    </row>
    <row r="728" spans="1:31">
      <c r="A728" s="1806"/>
      <c r="B728" s="173" t="s">
        <v>1077</v>
      </c>
      <c r="C728" s="173" t="s">
        <v>1637</v>
      </c>
      <c r="D728" s="174">
        <v>0.16465265516828964</v>
      </c>
      <c r="E728" s="175">
        <v>0.15744258813661718</v>
      </c>
      <c r="F728" s="175">
        <v>1.8536320664162616E-3</v>
      </c>
      <c r="G728" s="175">
        <v>5.3564349652562042E-3</v>
      </c>
      <c r="S728" s="182"/>
      <c r="T728" s="165"/>
      <c r="Y728" s="1806"/>
      <c r="Z728" s="173" t="s">
        <v>1077</v>
      </c>
      <c r="AA728" s="173" t="s">
        <v>1637</v>
      </c>
      <c r="AB728" s="174"/>
      <c r="AC728" s="175"/>
      <c r="AD728" s="176"/>
      <c r="AE728" s="175"/>
    </row>
    <row r="729" spans="1:31">
      <c r="A729" s="1806"/>
      <c r="B729" s="173" t="s">
        <v>1078</v>
      </c>
      <c r="C729" s="173" t="s">
        <v>1637</v>
      </c>
      <c r="D729" s="174">
        <v>0.17986828746933048</v>
      </c>
      <c r="E729" s="175">
        <v>0.17681518390195594</v>
      </c>
      <c r="F729" s="176">
        <v>2.3630832564818234E-4</v>
      </c>
      <c r="G729" s="175">
        <v>2.8167952417263338E-3</v>
      </c>
      <c r="S729" s="182"/>
      <c r="T729" s="165"/>
      <c r="Y729" s="1806"/>
      <c r="Z729" s="173" t="s">
        <v>1078</v>
      </c>
      <c r="AA729" s="173" t="s">
        <v>1637</v>
      </c>
      <c r="AB729" s="174"/>
      <c r="AC729" s="175"/>
      <c r="AD729" s="175"/>
      <c r="AE729" s="175"/>
    </row>
    <row r="730" spans="1:31">
      <c r="A730" s="1806"/>
      <c r="B730" s="173" t="s">
        <v>1079</v>
      </c>
      <c r="C730" s="173" t="s">
        <v>1637</v>
      </c>
      <c r="D730" s="174">
        <v>8.6168222871404909E-2</v>
      </c>
      <c r="E730" s="175">
        <v>8.2394954458162986E-2</v>
      </c>
      <c r="F730" s="175">
        <v>9.7006744809117692E-4</v>
      </c>
      <c r="G730" s="175">
        <v>2.8032009651507467E-3</v>
      </c>
      <c r="S730" s="182"/>
      <c r="T730" s="165"/>
      <c r="Y730" s="1806"/>
      <c r="Z730" s="173" t="s">
        <v>1079</v>
      </c>
      <c r="AA730" s="173" t="s">
        <v>1637</v>
      </c>
      <c r="AB730" s="174"/>
      <c r="AC730" s="175"/>
      <c r="AD730" s="175"/>
      <c r="AE730" s="176"/>
    </row>
    <row r="731" spans="1:31">
      <c r="A731" s="1806"/>
      <c r="B731" s="173" t="s">
        <v>1080</v>
      </c>
      <c r="C731" s="173" t="s">
        <v>1637</v>
      </c>
      <c r="D731" s="174">
        <v>2.1155224490718202E-2</v>
      </c>
      <c r="E731" s="175">
        <v>1.0584874474475637E-2</v>
      </c>
      <c r="F731" s="175">
        <v>1.0165708712678174E-2</v>
      </c>
      <c r="G731" s="176">
        <v>4.0464130356439358E-4</v>
      </c>
      <c r="S731" s="182"/>
      <c r="T731" s="165"/>
      <c r="Y731" s="1806"/>
      <c r="Z731" s="173" t="s">
        <v>1080</v>
      </c>
      <c r="AA731" s="173" t="s">
        <v>1637</v>
      </c>
      <c r="AB731" s="174"/>
      <c r="AC731" s="175"/>
      <c r="AD731" s="175"/>
      <c r="AE731" s="175"/>
    </row>
    <row r="732" spans="1:31">
      <c r="A732" s="1806"/>
      <c r="B732" s="173" t="s">
        <v>1081</v>
      </c>
      <c r="C732" s="173" t="s">
        <v>1637</v>
      </c>
      <c r="D732" s="174">
        <v>9.4131070442282944E-2</v>
      </c>
      <c r="E732" s="175">
        <v>9.2533279575356953E-2</v>
      </c>
      <c r="F732" s="175">
        <v>1.2366802375588209E-4</v>
      </c>
      <c r="G732" s="175">
        <v>1.4741228431701145E-3</v>
      </c>
      <c r="S732" s="182"/>
      <c r="T732" s="165"/>
      <c r="Y732" s="1806"/>
      <c r="Z732" s="173" t="s">
        <v>1081</v>
      </c>
      <c r="AA732" s="173" t="s">
        <v>1637</v>
      </c>
      <c r="AB732" s="174"/>
      <c r="AC732" s="175"/>
      <c r="AD732" s="175"/>
      <c r="AE732" s="175"/>
    </row>
    <row r="733" spans="1:31">
      <c r="A733" s="1806"/>
      <c r="B733" s="173" t="s">
        <v>1082</v>
      </c>
      <c r="C733" s="173" t="s">
        <v>1637</v>
      </c>
      <c r="D733" s="174">
        <v>2.0837286111117223E-2</v>
      </c>
      <c r="E733" s="175">
        <v>1.0425796141831561E-2</v>
      </c>
      <c r="F733" s="175">
        <v>1.0012929953132393E-2</v>
      </c>
      <c r="G733" s="175">
        <v>3.9856001615327019E-4</v>
      </c>
      <c r="S733" s="182"/>
      <c r="T733" s="165"/>
      <c r="Y733" s="1807"/>
      <c r="Z733" s="173" t="s">
        <v>1082</v>
      </c>
      <c r="AA733" s="173" t="s">
        <v>1637</v>
      </c>
      <c r="AB733" s="174"/>
      <c r="AC733" s="175"/>
      <c r="AD733" s="175"/>
      <c r="AE733" s="234"/>
    </row>
    <row r="734" spans="1:31">
      <c r="A734" s="1807"/>
      <c r="B734" s="173" t="s">
        <v>1083</v>
      </c>
      <c r="C734" s="173" t="s">
        <v>1637</v>
      </c>
      <c r="D734" s="174">
        <v>2.3159299848938074E-2</v>
      </c>
      <c r="E734" s="175">
        <v>2.2242181220154627E-2</v>
      </c>
      <c r="F734" s="175">
        <v>8.8533967059417618E-4</v>
      </c>
      <c r="G734" s="234">
        <v>3.177895818926895E-5</v>
      </c>
      <c r="S734" s="182"/>
      <c r="T734" s="165"/>
      <c r="Y734" s="1805" t="s">
        <v>1889</v>
      </c>
      <c r="Z734" s="173" t="s">
        <v>1083</v>
      </c>
      <c r="AA734" s="173" t="s">
        <v>1637</v>
      </c>
      <c r="AB734" s="174"/>
      <c r="AC734" s="175"/>
      <c r="AD734" s="176"/>
      <c r="AE734" s="180"/>
    </row>
    <row r="735" spans="1:31">
      <c r="A735" s="1805" t="s">
        <v>1889</v>
      </c>
      <c r="B735" s="173" t="s">
        <v>1890</v>
      </c>
      <c r="C735" s="173" t="s">
        <v>1637</v>
      </c>
      <c r="D735" s="174">
        <v>0.22469677300280874</v>
      </c>
      <c r="E735" s="175">
        <v>0.22088274592285784</v>
      </c>
      <c r="F735" s="176">
        <v>2.9520333436152367E-4</v>
      </c>
      <c r="G735" s="180">
        <v>3.5188237455893623E-3</v>
      </c>
      <c r="S735" s="182"/>
      <c r="T735" s="165"/>
      <c r="Y735" s="1807"/>
      <c r="Z735" s="173" t="s">
        <v>72</v>
      </c>
      <c r="AA735" s="173" t="s">
        <v>1637</v>
      </c>
      <c r="AB735" s="174"/>
      <c r="AC735" s="175"/>
      <c r="AD735" s="176"/>
      <c r="AE735" s="180"/>
    </row>
    <row r="736" spans="1:31">
      <c r="A736" s="1807"/>
      <c r="B736" s="173" t="s">
        <v>1891</v>
      </c>
      <c r="C736" s="173" t="s">
        <v>1892</v>
      </c>
      <c r="D736" s="174">
        <v>7.021774156337772E-2</v>
      </c>
      <c r="E736" s="175">
        <v>6.9025858100893067E-2</v>
      </c>
      <c r="F736" s="176">
        <v>9.2251041987976147E-5</v>
      </c>
      <c r="G736" s="180">
        <v>1.0996324204966756E-3</v>
      </c>
      <c r="Y736" s="197" t="s">
        <v>1893</v>
      </c>
      <c r="Z736" s="173" t="s">
        <v>70</v>
      </c>
      <c r="AA736" s="173" t="s">
        <v>1637</v>
      </c>
      <c r="AB736" s="174"/>
      <c r="AC736" s="175"/>
      <c r="AD736" s="1272"/>
      <c r="AE736" s="1273"/>
    </row>
    <row r="737" spans="1:38" ht="18">
      <c r="A737" s="197" t="s">
        <v>1893</v>
      </c>
      <c r="B737" s="198"/>
      <c r="C737" s="198"/>
      <c r="D737" s="1815" t="s">
        <v>1894</v>
      </c>
      <c r="E737" s="1816"/>
      <c r="F737" s="1816"/>
      <c r="G737" s="1817"/>
      <c r="Y737" s="1274" t="s">
        <v>1613</v>
      </c>
      <c r="Z737" s="173" t="s">
        <v>1077</v>
      </c>
      <c r="AA737" s="173" t="s">
        <v>1637</v>
      </c>
      <c r="AB737" s="174"/>
      <c r="AC737" s="175"/>
      <c r="AD737" s="172" t="s">
        <v>1616</v>
      </c>
      <c r="AE737" s="172" t="s">
        <v>1617</v>
      </c>
    </row>
    <row r="738" spans="1:38" ht="18">
      <c r="A738" s="1809" t="s">
        <v>1613</v>
      </c>
      <c r="B738" s="1810"/>
      <c r="C738" s="170" t="s">
        <v>1340</v>
      </c>
      <c r="D738" s="171" t="s">
        <v>1614</v>
      </c>
      <c r="E738" s="172" t="s">
        <v>1615</v>
      </c>
      <c r="F738" s="172" t="s">
        <v>1616</v>
      </c>
      <c r="G738" s="172" t="s">
        <v>1617</v>
      </c>
      <c r="K738" s="179"/>
      <c r="L738" s="179"/>
      <c r="Y738" s="1921" t="s">
        <v>1896</v>
      </c>
      <c r="Z738" s="173" t="s">
        <v>1078</v>
      </c>
      <c r="AA738" s="173" t="s">
        <v>1637</v>
      </c>
      <c r="AB738" s="174"/>
      <c r="AC738" s="175"/>
      <c r="AD738" s="238"/>
      <c r="AE738" s="237"/>
    </row>
    <row r="739" spans="1:38">
      <c r="A739" s="1921" t="s">
        <v>1896</v>
      </c>
      <c r="B739" s="235" t="s">
        <v>1897</v>
      </c>
      <c r="C739" s="235" t="s">
        <v>1674</v>
      </c>
      <c r="D739" s="236">
        <v>0.24243830226367186</v>
      </c>
      <c r="E739" s="237">
        <v>0.23806699997585282</v>
      </c>
      <c r="F739" s="238">
        <v>8.8160718409796004E-4</v>
      </c>
      <c r="G739" s="237">
        <v>3.4896951037210896E-3</v>
      </c>
      <c r="K739" s="182"/>
      <c r="L739" s="182"/>
      <c r="M739" s="165"/>
      <c r="N739" s="165"/>
      <c r="Y739" s="1922"/>
      <c r="Z739" s="173" t="s">
        <v>1079</v>
      </c>
      <c r="AA739" s="173" t="s">
        <v>1637</v>
      </c>
      <c r="AB739" s="174"/>
      <c r="AC739" s="175"/>
      <c r="AD739" s="238"/>
      <c r="AE739" s="237"/>
    </row>
    <row r="740" spans="1:38">
      <c r="A740" s="1922"/>
      <c r="B740" s="235" t="s">
        <v>1898</v>
      </c>
      <c r="C740" s="235" t="s">
        <v>1674</v>
      </c>
      <c r="D740" s="236">
        <v>0.1344681228983661</v>
      </c>
      <c r="E740" s="237">
        <v>0.13204358515917225</v>
      </c>
      <c r="F740" s="238">
        <v>4.8898240118195528E-4</v>
      </c>
      <c r="G740" s="237">
        <v>1.9355553380119061E-3</v>
      </c>
      <c r="K740" s="182"/>
      <c r="L740" s="182"/>
      <c r="M740" s="165"/>
      <c r="N740" s="165"/>
      <c r="Y740" s="1922"/>
      <c r="Z740" s="173" t="s">
        <v>1080</v>
      </c>
      <c r="AA740" s="173" t="s">
        <v>1637</v>
      </c>
      <c r="AB740" s="174"/>
      <c r="AC740" s="175"/>
      <c r="AD740" s="238"/>
      <c r="AE740" s="237"/>
    </row>
    <row r="741" spans="1:38">
      <c r="A741" s="1922"/>
      <c r="B741" s="235" t="s">
        <v>1899</v>
      </c>
      <c r="C741" s="235" t="s">
        <v>1674</v>
      </c>
      <c r="D741" s="236">
        <v>0.21349003162963931</v>
      </c>
      <c r="E741" s="237">
        <v>0.20964068334194902</v>
      </c>
      <c r="F741" s="238">
        <v>7.7633915045854387E-4</v>
      </c>
      <c r="G741" s="237">
        <v>3.0730091372317358E-3</v>
      </c>
      <c r="K741" s="182"/>
      <c r="L741" s="182"/>
      <c r="M741" s="165"/>
      <c r="N741" s="165"/>
      <c r="Y741" s="1922"/>
      <c r="Z741" s="173" t="s">
        <v>1081</v>
      </c>
      <c r="AA741" s="173" t="s">
        <v>1637</v>
      </c>
      <c r="AB741" s="174"/>
      <c r="AC741" s="175"/>
      <c r="AD741" s="238"/>
      <c r="AE741" s="237"/>
    </row>
    <row r="742" spans="1:38">
      <c r="A742" s="1922"/>
      <c r="B742" s="235" t="s">
        <v>1900</v>
      </c>
      <c r="C742" s="235" t="s">
        <v>1674</v>
      </c>
      <c r="D742" s="236">
        <v>0.65924664237510633</v>
      </c>
      <c r="E742" s="237">
        <v>0.64736004554142135</v>
      </c>
      <c r="F742" s="238">
        <v>2.3972968404070596E-3</v>
      </c>
      <c r="G742" s="237">
        <v>9.4892999932779439E-3</v>
      </c>
      <c r="K742" s="182"/>
      <c r="L742" s="182"/>
      <c r="M742" s="165"/>
      <c r="N742" s="165"/>
      <c r="Y742" s="239"/>
      <c r="Z742" s="173" t="s">
        <v>1082</v>
      </c>
      <c r="AA742" s="173" t="s">
        <v>1637</v>
      </c>
      <c r="AB742" s="174"/>
      <c r="AC742" s="175"/>
      <c r="AD742" s="239"/>
      <c r="AE742" s="239"/>
    </row>
    <row r="743" spans="1:38">
      <c r="A743" s="239"/>
      <c r="B743" s="239"/>
      <c r="C743" s="239"/>
      <c r="D743" s="239"/>
      <c r="E743" s="239"/>
      <c r="F743" s="239"/>
      <c r="G743" s="239"/>
      <c r="Y743" s="197" t="s">
        <v>1901</v>
      </c>
      <c r="Z743" s="173" t="s">
        <v>1083</v>
      </c>
      <c r="AA743" s="173" t="s">
        <v>1637</v>
      </c>
      <c r="AB743" s="174"/>
      <c r="AC743" s="175"/>
      <c r="AD743" s="1272"/>
      <c r="AE743" s="1273"/>
    </row>
    <row r="744" spans="1:38" ht="18">
      <c r="A744" s="197" t="s">
        <v>1901</v>
      </c>
      <c r="B744" s="198"/>
      <c r="C744" s="198"/>
      <c r="D744" s="1815" t="s">
        <v>1894</v>
      </c>
      <c r="E744" s="1816"/>
      <c r="F744" s="1816"/>
      <c r="G744" s="1817"/>
      <c r="Y744" s="1274" t="s">
        <v>1613</v>
      </c>
      <c r="Z744" s="173" t="s">
        <v>1890</v>
      </c>
      <c r="AA744" s="173" t="s">
        <v>1637</v>
      </c>
      <c r="AB744" s="174"/>
      <c r="AC744" s="175"/>
      <c r="AD744" s="172" t="s">
        <v>1616</v>
      </c>
      <c r="AE744" s="172" t="s">
        <v>1617</v>
      </c>
    </row>
    <row r="745" spans="1:38" ht="33" customHeight="1">
      <c r="A745" s="1809" t="s">
        <v>1613</v>
      </c>
      <c r="B745" s="1810"/>
      <c r="C745" s="170" t="s">
        <v>1340</v>
      </c>
      <c r="D745" s="171" t="s">
        <v>1614</v>
      </c>
      <c r="E745" s="172" t="s">
        <v>1615</v>
      </c>
      <c r="F745" s="172" t="s">
        <v>1616</v>
      </c>
      <c r="G745" s="172" t="s">
        <v>1617</v>
      </c>
      <c r="Y745" s="1805" t="s">
        <v>1907</v>
      </c>
      <c r="Z745" s="173" t="s">
        <v>1891</v>
      </c>
      <c r="AA745" s="173" t="s">
        <v>1892</v>
      </c>
      <c r="AB745" s="174"/>
      <c r="AC745" s="175"/>
      <c r="AD745" s="191"/>
      <c r="AE745" s="175"/>
      <c r="AH745" s="1290" t="s">
        <v>2345</v>
      </c>
      <c r="AI745" s="1290" t="s">
        <v>2346</v>
      </c>
      <c r="AJ745" t="s">
        <v>1111</v>
      </c>
      <c r="AK745">
        <v>213</v>
      </c>
      <c r="AL745" t="s">
        <v>1906</v>
      </c>
    </row>
    <row r="746" spans="1:38" ht="45">
      <c r="A746" s="1805" t="s">
        <v>1907</v>
      </c>
      <c r="B746" s="173" t="s">
        <v>1908</v>
      </c>
      <c r="C746" s="173" t="s">
        <v>1674</v>
      </c>
      <c r="D746" s="174">
        <v>0.15553</v>
      </c>
      <c r="E746" s="175">
        <v>0.15475</v>
      </c>
      <c r="F746" s="191">
        <v>1.0000000000000001E-5</v>
      </c>
      <c r="G746" s="175">
        <v>7.6999999999999996E-4</v>
      </c>
      <c r="K746" s="182"/>
      <c r="L746" s="240"/>
      <c r="M746" s="165"/>
      <c r="N746" s="165"/>
      <c r="Y746" s="1806"/>
      <c r="Z746" s="198"/>
      <c r="AA746" s="198"/>
      <c r="AB746" s="1271" t="s">
        <v>1894</v>
      </c>
      <c r="AC746" s="1272"/>
      <c r="AD746" s="191"/>
      <c r="AE746" s="175"/>
      <c r="AH746" s="1290" t="s">
        <v>2345</v>
      </c>
      <c r="AI746" s="1290" t="s">
        <v>2347</v>
      </c>
      <c r="AK746">
        <v>200</v>
      </c>
      <c r="AL746" t="s">
        <v>1906</v>
      </c>
    </row>
    <row r="747" spans="1:38" ht="45">
      <c r="A747" s="1806"/>
      <c r="B747" s="173" t="s">
        <v>1910</v>
      </c>
      <c r="C747" s="173" t="s">
        <v>1674</v>
      </c>
      <c r="D747" s="174">
        <v>0.15298000000000003</v>
      </c>
      <c r="E747" s="175">
        <v>0.15221000000000001</v>
      </c>
      <c r="F747" s="191">
        <v>1.0000000000000001E-5</v>
      </c>
      <c r="G747" s="175">
        <v>7.6000000000000004E-4</v>
      </c>
      <c r="K747" s="182"/>
      <c r="L747" s="240"/>
      <c r="M747" s="165"/>
      <c r="N747" s="165"/>
      <c r="Y747" s="1807"/>
      <c r="Z747" s="1270"/>
      <c r="AA747" s="170" t="s">
        <v>1340</v>
      </c>
      <c r="AB747" s="171" t="s">
        <v>1614</v>
      </c>
      <c r="AC747" s="172" t="s">
        <v>1615</v>
      </c>
      <c r="AD747" s="191"/>
      <c r="AE747" s="175"/>
      <c r="AH747" s="1290" t="s">
        <v>2345</v>
      </c>
      <c r="AI747" s="1290" t="s">
        <v>2346</v>
      </c>
      <c r="AK747">
        <v>178</v>
      </c>
      <c r="AL747" t="s">
        <v>1906</v>
      </c>
    </row>
    <row r="748" spans="1:38" ht="45">
      <c r="A748" s="1807"/>
      <c r="B748" s="173" t="s">
        <v>1911</v>
      </c>
      <c r="C748" s="173" t="s">
        <v>1674</v>
      </c>
      <c r="D748" s="174">
        <v>0.22947000000000001</v>
      </c>
      <c r="E748" s="175">
        <v>0.22832</v>
      </c>
      <c r="F748" s="191">
        <v>1.0000000000000001E-5</v>
      </c>
      <c r="G748" s="175">
        <v>1.14E-3</v>
      </c>
      <c r="K748" s="182"/>
      <c r="L748" s="240"/>
      <c r="M748" s="165"/>
      <c r="N748" s="165"/>
      <c r="Y748" s="1805" t="s">
        <v>1912</v>
      </c>
      <c r="Z748" s="235" t="s">
        <v>1897</v>
      </c>
      <c r="AA748" s="235" t="s">
        <v>1674</v>
      </c>
      <c r="AB748" s="236"/>
      <c r="AC748" s="237"/>
      <c r="AD748" s="191"/>
      <c r="AE748" s="175"/>
      <c r="AH748" s="1290" t="s">
        <v>2345</v>
      </c>
      <c r="AI748" s="1290" t="s">
        <v>2347</v>
      </c>
      <c r="AK748">
        <v>172</v>
      </c>
      <c r="AL748" t="s">
        <v>1906</v>
      </c>
    </row>
    <row r="749" spans="1:38">
      <c r="A749" s="1805" t="s">
        <v>1912</v>
      </c>
      <c r="B749" s="173" t="s">
        <v>1908</v>
      </c>
      <c r="C749" s="173" t="s">
        <v>1674</v>
      </c>
      <c r="D749" s="174">
        <v>0.19085000000000002</v>
      </c>
      <c r="E749" s="175">
        <v>0.18989</v>
      </c>
      <c r="F749" s="191">
        <v>1.0000000000000001E-5</v>
      </c>
      <c r="G749" s="175">
        <v>9.5E-4</v>
      </c>
      <c r="K749" s="182"/>
      <c r="L749" s="240"/>
      <c r="M749" s="165"/>
      <c r="N749" s="165"/>
      <c r="Y749" s="1806"/>
      <c r="Z749" s="235" t="s">
        <v>1898</v>
      </c>
      <c r="AA749" s="235" t="s">
        <v>1674</v>
      </c>
      <c r="AB749" s="236"/>
      <c r="AC749" s="237"/>
      <c r="AD749" s="191"/>
      <c r="AE749" s="175"/>
    </row>
    <row r="750" spans="1:38">
      <c r="A750" s="1806"/>
      <c r="B750" s="173" t="s">
        <v>1910</v>
      </c>
      <c r="C750" s="173" t="s">
        <v>1674</v>
      </c>
      <c r="D750" s="174">
        <v>0.14615</v>
      </c>
      <c r="E750" s="175">
        <v>0.14541999999999999</v>
      </c>
      <c r="F750" s="191">
        <v>1.0000000000000001E-5</v>
      </c>
      <c r="G750" s="175">
        <v>7.2000000000000005E-4</v>
      </c>
      <c r="K750" s="182"/>
      <c r="L750" s="240"/>
      <c r="M750" s="165"/>
      <c r="N750" s="165"/>
      <c r="Y750" s="1806"/>
      <c r="Z750" s="235" t="s">
        <v>1899</v>
      </c>
      <c r="AA750" s="235" t="s">
        <v>1674</v>
      </c>
      <c r="AB750" s="236"/>
      <c r="AC750" s="237"/>
      <c r="AD750" s="191"/>
      <c r="AE750" s="175"/>
      <c r="AI750" s="1290"/>
    </row>
    <row r="751" spans="1:38">
      <c r="A751" s="1806"/>
      <c r="B751" s="173" t="s">
        <v>1914</v>
      </c>
      <c r="C751" s="173" t="s">
        <v>1674</v>
      </c>
      <c r="D751" s="174">
        <v>0.23385</v>
      </c>
      <c r="E751" s="175">
        <v>0.23268</v>
      </c>
      <c r="F751" s="191">
        <v>1.0000000000000001E-5</v>
      </c>
      <c r="G751" s="175">
        <v>1.16E-3</v>
      </c>
      <c r="K751" s="182"/>
      <c r="L751" s="240"/>
      <c r="M751" s="165"/>
      <c r="N751" s="165"/>
      <c r="Y751" s="1806"/>
      <c r="Z751" s="235" t="s">
        <v>1900</v>
      </c>
      <c r="AA751" s="235" t="s">
        <v>1674</v>
      </c>
      <c r="AB751" s="236"/>
      <c r="AC751" s="237"/>
      <c r="AD751" s="191"/>
      <c r="AE751" s="175"/>
    </row>
    <row r="752" spans="1:38">
      <c r="A752" s="1806"/>
      <c r="B752" s="173" t="s">
        <v>1911</v>
      </c>
      <c r="C752" s="173" t="s">
        <v>1674</v>
      </c>
      <c r="D752" s="174">
        <v>0.42385</v>
      </c>
      <c r="E752" s="175">
        <v>0.42172999999999999</v>
      </c>
      <c r="F752" s="191">
        <v>2.0000000000000002E-5</v>
      </c>
      <c r="G752" s="175">
        <v>2.0999999999999999E-3</v>
      </c>
      <c r="K752" s="182"/>
      <c r="L752" s="240"/>
      <c r="M752" s="165"/>
      <c r="N752" s="165"/>
      <c r="Y752" s="1807"/>
      <c r="Z752" s="239"/>
      <c r="AA752" s="239"/>
      <c r="AB752" s="239"/>
      <c r="AC752" s="239"/>
      <c r="AD752" s="191"/>
      <c r="AE752" s="175"/>
      <c r="AI752" s="1290"/>
    </row>
    <row r="753" spans="1:35">
      <c r="A753" s="1807"/>
      <c r="B753" s="173" t="s">
        <v>1915</v>
      </c>
      <c r="C753" s="173" t="s">
        <v>1674</v>
      </c>
      <c r="D753" s="174">
        <v>0.58462000000000003</v>
      </c>
      <c r="E753" s="175">
        <v>0.58169999999999999</v>
      </c>
      <c r="F753" s="191">
        <v>2.0000000000000002E-5</v>
      </c>
      <c r="G753" s="175">
        <v>2.8999999999999998E-3</v>
      </c>
      <c r="K753" s="182"/>
      <c r="L753" s="240"/>
      <c r="M753" s="165"/>
      <c r="N753" s="165"/>
      <c r="Y753" s="197" t="s">
        <v>1917</v>
      </c>
      <c r="Z753" s="198"/>
      <c r="AA753" s="198"/>
      <c r="AB753" s="1271" t="s">
        <v>1894</v>
      </c>
      <c r="AC753" s="1272"/>
      <c r="AD753" s="245"/>
      <c r="AE753" s="245"/>
      <c r="AF753" s="245"/>
      <c r="AI753" s="1290"/>
    </row>
    <row r="754" spans="1:35" ht="18">
      <c r="A754" s="197" t="s">
        <v>1917</v>
      </c>
      <c r="B754" s="244"/>
      <c r="C754" s="244"/>
      <c r="D754" s="245"/>
      <c r="E754" s="245"/>
      <c r="F754" s="245"/>
      <c r="G754" s="245"/>
      <c r="H754" s="245"/>
      <c r="Y754" s="1275" t="s">
        <v>1613</v>
      </c>
      <c r="Z754" s="1270"/>
      <c r="AA754" s="170" t="s">
        <v>1340</v>
      </c>
      <c r="AB754" s="171" t="s">
        <v>1614</v>
      </c>
      <c r="AC754" s="172" t="s">
        <v>1615</v>
      </c>
      <c r="AD754" s="172" t="s">
        <v>1616</v>
      </c>
      <c r="AE754" s="172" t="s">
        <v>1617</v>
      </c>
      <c r="AF754" s="246" t="s">
        <v>1619</v>
      </c>
    </row>
    <row r="755" spans="1:35" ht="18">
      <c r="A755" s="1859" t="s">
        <v>1613</v>
      </c>
      <c r="B755" s="1860"/>
      <c r="C755" s="172" t="s">
        <v>1340</v>
      </c>
      <c r="D755" s="171" t="s">
        <v>1614</v>
      </c>
      <c r="E755" s="172" t="s">
        <v>1615</v>
      </c>
      <c r="F755" s="172" t="s">
        <v>1616</v>
      </c>
      <c r="G755" s="172" t="s">
        <v>1617</v>
      </c>
      <c r="H755" s="246" t="s">
        <v>1619</v>
      </c>
      <c r="Y755" s="1856" t="s">
        <v>165</v>
      </c>
      <c r="Z755" s="173" t="s">
        <v>1908</v>
      </c>
      <c r="AA755" s="173" t="s">
        <v>1674</v>
      </c>
      <c r="AB755" s="174"/>
      <c r="AC755" s="175"/>
      <c r="AD755" s="243"/>
      <c r="AE755" s="243"/>
      <c r="AF755" s="247"/>
    </row>
    <row r="756" spans="1:35">
      <c r="A756" s="1856" t="s">
        <v>165</v>
      </c>
      <c r="B756" s="242" t="s">
        <v>1100</v>
      </c>
      <c r="C756" s="242" t="s">
        <v>1674</v>
      </c>
      <c r="D756" s="243">
        <v>0.13600000000000001</v>
      </c>
      <c r="E756" s="243">
        <v>0.13400000000000001</v>
      </c>
      <c r="F756" s="243">
        <v>0</v>
      </c>
      <c r="G756" s="243">
        <v>2E-3</v>
      </c>
      <c r="H756" s="247"/>
      <c r="Y756" s="1857"/>
      <c r="Z756" s="173" t="s">
        <v>1910</v>
      </c>
      <c r="AA756" s="173" t="s">
        <v>1674</v>
      </c>
      <c r="AB756" s="174"/>
      <c r="AC756" s="175"/>
      <c r="AD756" s="248"/>
      <c r="AE756" s="249"/>
      <c r="AF756" s="247"/>
    </row>
    <row r="757" spans="1:35">
      <c r="A757" s="1857"/>
      <c r="B757" s="228" t="s">
        <v>1101</v>
      </c>
      <c r="C757" s="228" t="s">
        <v>1674</v>
      </c>
      <c r="D757" s="241">
        <v>1.2508482416231228E-2</v>
      </c>
      <c r="E757" s="241">
        <v>1.2013140919874989E-2</v>
      </c>
      <c r="F757" s="248">
        <v>4.7817748266370798E-4</v>
      </c>
      <c r="G757" s="249">
        <v>1.7164013692531599E-5</v>
      </c>
      <c r="H757" s="247" t="s">
        <v>1918</v>
      </c>
      <c r="Y757" s="1857"/>
      <c r="Z757" s="173" t="s">
        <v>1911</v>
      </c>
      <c r="AA757" s="173" t="s">
        <v>1674</v>
      </c>
      <c r="AB757" s="174"/>
      <c r="AC757" s="175"/>
      <c r="AD757" s="248"/>
      <c r="AE757" s="241"/>
      <c r="AF757" s="247"/>
    </row>
    <row r="758" spans="1:35">
      <c r="A758" s="1857"/>
      <c r="B758" s="228" t="s">
        <v>1102</v>
      </c>
      <c r="C758" s="228" t="s">
        <v>1674</v>
      </c>
      <c r="D758" s="241">
        <v>0.1111722908844396</v>
      </c>
      <c r="E758" s="241">
        <v>0.10928524051737389</v>
      </c>
      <c r="F758" s="248">
        <v>1.4605652995864594E-4</v>
      </c>
      <c r="G758" s="241">
        <v>1.7409938371070594E-3</v>
      </c>
      <c r="H758" s="247" t="s">
        <v>1918</v>
      </c>
      <c r="Y758" s="1858"/>
      <c r="Z758" s="173" t="s">
        <v>1908</v>
      </c>
      <c r="AA758" s="173" t="s">
        <v>1674</v>
      </c>
      <c r="AB758" s="174"/>
      <c r="AC758" s="175"/>
      <c r="AD758" s="248"/>
      <c r="AE758" s="241"/>
      <c r="AF758" s="247"/>
    </row>
    <row r="759" spans="1:35">
      <c r="A759" s="1858"/>
      <c r="B759" s="228" t="s">
        <v>1919</v>
      </c>
      <c r="C759" s="228" t="s">
        <v>1674</v>
      </c>
      <c r="D759" s="241">
        <v>0.10839126257380391</v>
      </c>
      <c r="E759" s="241">
        <v>0.10654344018536273</v>
      </c>
      <c r="F759" s="248">
        <v>1.5541799477910935E-4</v>
      </c>
      <c r="G759" s="241">
        <v>1.6924043936620635E-3</v>
      </c>
      <c r="H759" s="247" t="s">
        <v>1918</v>
      </c>
      <c r="Y759" s="1856" t="s">
        <v>1011</v>
      </c>
      <c r="Z759" s="173" t="s">
        <v>1910</v>
      </c>
      <c r="AA759" s="173" t="s">
        <v>1674</v>
      </c>
      <c r="AB759" s="174"/>
      <c r="AC759" s="175"/>
      <c r="AD759" s="248"/>
      <c r="AE759" s="249"/>
      <c r="AF759" s="247"/>
    </row>
    <row r="760" spans="1:35">
      <c r="A760" s="1856" t="s">
        <v>1011</v>
      </c>
      <c r="B760" s="228" t="s">
        <v>1096</v>
      </c>
      <c r="C760" s="228" t="s">
        <v>1674</v>
      </c>
      <c r="D760" s="241">
        <v>9.3249854445803439E-3</v>
      </c>
      <c r="E760" s="241">
        <v>8.9557118516763144E-3</v>
      </c>
      <c r="F760" s="248">
        <v>3.5647794171889889E-4</v>
      </c>
      <c r="G760" s="249">
        <v>1.2795651185130641E-5</v>
      </c>
      <c r="H760" s="247" t="s">
        <v>1918</v>
      </c>
      <c r="Y760" s="1857"/>
      <c r="Z760" s="173" t="s">
        <v>1914</v>
      </c>
      <c r="AA760" s="173" t="s">
        <v>1674</v>
      </c>
      <c r="AB760" s="174"/>
      <c r="AC760" s="175"/>
      <c r="AD760" s="249"/>
      <c r="AE760" s="241"/>
      <c r="AF760" s="247"/>
    </row>
    <row r="761" spans="1:35">
      <c r="A761" s="1857"/>
      <c r="B761" s="228" t="s">
        <v>1097</v>
      </c>
      <c r="C761" s="228" t="s">
        <v>1674</v>
      </c>
      <c r="D761" s="241">
        <v>3.7728737685299288E-2</v>
      </c>
      <c r="E761" s="241">
        <v>3.7088326052764201E-2</v>
      </c>
      <c r="F761" s="249">
        <v>4.9567463818505326E-5</v>
      </c>
      <c r="G761" s="241">
        <v>5.9084416871658355E-4</v>
      </c>
      <c r="H761" s="247" t="s">
        <v>1918</v>
      </c>
      <c r="Y761" s="1858"/>
      <c r="Z761" s="173" t="s">
        <v>1911</v>
      </c>
      <c r="AA761" s="173" t="s">
        <v>1674</v>
      </c>
      <c r="AB761" s="174"/>
      <c r="AC761" s="175"/>
      <c r="AD761" s="248"/>
      <c r="AE761" s="248"/>
      <c r="AF761" s="247"/>
    </row>
    <row r="762" spans="1:35">
      <c r="A762" s="1858"/>
      <c r="B762" s="228" t="s">
        <v>1095</v>
      </c>
      <c r="C762" s="228" t="s">
        <v>1674</v>
      </c>
      <c r="D762" s="241">
        <v>1.4349829733419901E-2</v>
      </c>
      <c r="E762" s="241">
        <v>1.3932589716277945E-2</v>
      </c>
      <c r="F762" s="248">
        <v>3.0218309542559888E-4</v>
      </c>
      <c r="G762" s="248">
        <v>1.150569217163572E-4</v>
      </c>
      <c r="H762" s="247" t="s">
        <v>1918</v>
      </c>
      <c r="Z762" s="173" t="s">
        <v>1915</v>
      </c>
      <c r="AA762" s="173" t="s">
        <v>1674</v>
      </c>
      <c r="AB762" s="174"/>
      <c r="AC762" s="175"/>
    </row>
    <row r="763" spans="1:35">
      <c r="A763" s="10" t="s">
        <v>2274</v>
      </c>
      <c r="Z763" s="244"/>
      <c r="AA763" s="244"/>
      <c r="AB763" s="245"/>
      <c r="AC763" s="245"/>
    </row>
    <row r="764" spans="1:35" ht="18">
      <c r="A764" s="25"/>
      <c r="Z764" s="1276"/>
      <c r="AA764" s="172" t="s">
        <v>1340</v>
      </c>
      <c r="AB764" s="171" t="s">
        <v>1614</v>
      </c>
      <c r="AC764" s="172" t="s">
        <v>1615</v>
      </c>
    </row>
    <row r="765" spans="1:35">
      <c r="A765" s="167" t="s">
        <v>2348</v>
      </c>
      <c r="Z765" s="242" t="s">
        <v>1100</v>
      </c>
      <c r="AA765" s="242" t="s">
        <v>1674</v>
      </c>
      <c r="AB765" s="243"/>
      <c r="AC765" s="243"/>
    </row>
    <row r="766" spans="1:35">
      <c r="A766" s="1891" t="s">
        <v>1920</v>
      </c>
      <c r="B766" s="1891"/>
      <c r="C766" s="1891"/>
      <c r="D766" s="1891"/>
      <c r="E766" s="1891"/>
      <c r="F766" s="1891"/>
      <c r="G766" s="1891"/>
      <c r="Z766" s="228" t="s">
        <v>1101</v>
      </c>
      <c r="AA766" s="228" t="s">
        <v>1674</v>
      </c>
      <c r="AB766" s="241"/>
      <c r="AC766" s="241"/>
    </row>
    <row r="767" spans="1:35">
      <c r="A767" s="1892" t="s">
        <v>1635</v>
      </c>
      <c r="B767" s="1892"/>
      <c r="C767" s="689" t="s">
        <v>1340</v>
      </c>
      <c r="D767" s="689" t="s">
        <v>1107</v>
      </c>
      <c r="E767" s="689" t="s">
        <v>1921</v>
      </c>
      <c r="F767" s="689" t="s">
        <v>1922</v>
      </c>
      <c r="G767" s="689" t="s">
        <v>1923</v>
      </c>
      <c r="Z767" s="228" t="s">
        <v>1102</v>
      </c>
      <c r="AA767" s="228" t="s">
        <v>1674</v>
      </c>
      <c r="AB767" s="241"/>
      <c r="AC767" s="241"/>
    </row>
    <row r="768" spans="1:35">
      <c r="A768" s="1893" t="s">
        <v>1613</v>
      </c>
      <c r="B768" s="1985" t="s">
        <v>1924</v>
      </c>
      <c r="C768" s="1985"/>
      <c r="D768" s="1985"/>
      <c r="E768" s="1985"/>
      <c r="F768" s="1985"/>
      <c r="G768" s="1985"/>
      <c r="Z768" s="228" t="s">
        <v>1919</v>
      </c>
      <c r="AA768" s="228" t="s">
        <v>1674</v>
      </c>
      <c r="AB768" s="241"/>
      <c r="AC768" s="241"/>
    </row>
    <row r="769" spans="1:29">
      <c r="A769" s="1893"/>
      <c r="B769" s="690" t="s">
        <v>1636</v>
      </c>
      <c r="C769" s="690" t="s">
        <v>1637</v>
      </c>
      <c r="D769" s="1199">
        <v>0.15934905960000001</v>
      </c>
      <c r="E769" s="1200">
        <v>0.15273447270000001</v>
      </c>
      <c r="F769" s="1200">
        <v>2.0078444000000001E-3</v>
      </c>
      <c r="G769" s="1200">
        <v>4.6067425999999998E-3</v>
      </c>
      <c r="Z769" s="228" t="s">
        <v>1096</v>
      </c>
      <c r="AA769" s="228" t="s">
        <v>1674</v>
      </c>
      <c r="AB769" s="241"/>
      <c r="AC769" s="241"/>
    </row>
    <row r="770" spans="1:29">
      <c r="A770" s="1893"/>
      <c r="B770" s="690" t="s">
        <v>1925</v>
      </c>
      <c r="C770" s="690" t="s">
        <v>1637</v>
      </c>
      <c r="D770" s="1199">
        <v>0.16491770959999999</v>
      </c>
      <c r="E770" s="1200">
        <v>0.15807196770000001</v>
      </c>
      <c r="F770" s="1200">
        <v>2.0780109999999998E-3</v>
      </c>
      <c r="G770" s="1200">
        <v>4.7677309000000003E-3</v>
      </c>
      <c r="Z770" s="228" t="s">
        <v>1097</v>
      </c>
      <c r="AA770" s="228" t="s">
        <v>1674</v>
      </c>
      <c r="AB770" s="241"/>
      <c r="AC770" s="241"/>
    </row>
    <row r="771" spans="1:29">
      <c r="A771" s="1893"/>
      <c r="B771" s="690" t="s">
        <v>1926</v>
      </c>
      <c r="C771" s="690" t="s">
        <v>1637</v>
      </c>
      <c r="D771" s="1199">
        <v>0.1856930574</v>
      </c>
      <c r="E771" s="1200">
        <v>0.17798492990000001</v>
      </c>
      <c r="F771" s="1200">
        <v>2.3397864000000001E-3</v>
      </c>
      <c r="G771" s="1200">
        <v>5.3683411E-3</v>
      </c>
      <c r="Z771" s="228" t="s">
        <v>1095</v>
      </c>
      <c r="AA771" s="228" t="s">
        <v>1674</v>
      </c>
      <c r="AB771" s="241"/>
      <c r="AC771" s="241"/>
    </row>
    <row r="772" spans="1:29">
      <c r="A772" s="1893"/>
      <c r="B772" s="690" t="s">
        <v>1927</v>
      </c>
      <c r="C772" s="690" t="s">
        <v>1637</v>
      </c>
      <c r="D772" s="1199">
        <v>0.20625422639999999</v>
      </c>
      <c r="E772" s="1200">
        <v>0.19769260380000001</v>
      </c>
      <c r="F772" s="1200">
        <v>2.5988630999999999E-3</v>
      </c>
      <c r="G772" s="1200">
        <v>5.9627595000000004E-3</v>
      </c>
    </row>
    <row r="773" spans="1:29">
      <c r="A773" s="1893"/>
      <c r="B773" s="690" t="s">
        <v>1641</v>
      </c>
      <c r="C773" s="690" t="s">
        <v>1637</v>
      </c>
      <c r="D773" s="1199">
        <v>0.24673402790000001</v>
      </c>
      <c r="E773" s="1200">
        <v>0.2364920868</v>
      </c>
      <c r="F773" s="1200">
        <v>3.1089204E-3</v>
      </c>
      <c r="G773" s="1200">
        <v>7.1330207000000001E-3</v>
      </c>
    </row>
    <row r="774" spans="1:29">
      <c r="A774" s="1893"/>
      <c r="B774" s="1985" t="s">
        <v>1928</v>
      </c>
      <c r="C774" s="1985"/>
      <c r="D774" s="1985"/>
      <c r="E774" s="1985"/>
      <c r="F774" s="1985"/>
      <c r="G774" s="1985"/>
    </row>
    <row r="775" spans="1:29">
      <c r="A775" s="1893"/>
      <c r="B775" s="690" t="s">
        <v>1636</v>
      </c>
      <c r="C775" s="690" t="s">
        <v>1637</v>
      </c>
      <c r="D775" s="1199">
        <v>0.17775776369999999</v>
      </c>
      <c r="E775" s="1200">
        <v>0.17502182390000001</v>
      </c>
      <c r="F775" s="1200">
        <v>2.6145500000000001E-4</v>
      </c>
      <c r="G775" s="1200">
        <v>2.4744848000000002E-3</v>
      </c>
    </row>
    <row r="776" spans="1:29">
      <c r="A776" s="1893"/>
      <c r="B776" s="690" t="s">
        <v>1925</v>
      </c>
      <c r="C776" s="690" t="s">
        <v>1637</v>
      </c>
      <c r="D776" s="1199">
        <v>0.1710587475</v>
      </c>
      <c r="E776" s="1200">
        <v>0.1684259149</v>
      </c>
      <c r="F776" s="1200">
        <v>2.5160169999999997E-4</v>
      </c>
      <c r="G776" s="1200">
        <v>2.3812308000000001E-3</v>
      </c>
    </row>
    <row r="777" spans="1:29">
      <c r="A777" s="1893"/>
      <c r="B777" s="690" t="s">
        <v>1926</v>
      </c>
      <c r="C777" s="690" t="s">
        <v>1637</v>
      </c>
      <c r="D777" s="1199">
        <v>0.18130234689999999</v>
      </c>
      <c r="E777" s="1200">
        <v>0.178511851</v>
      </c>
      <c r="F777" s="1200">
        <v>2.6666850000000002E-4</v>
      </c>
      <c r="G777" s="1200">
        <v>2.5238272999999999E-3</v>
      </c>
    </row>
    <row r="778" spans="1:29">
      <c r="A778" s="1893"/>
      <c r="B778" s="690" t="s">
        <v>1929</v>
      </c>
      <c r="C778" s="690" t="s">
        <v>1637</v>
      </c>
      <c r="D778" s="1199">
        <v>0.2227529422</v>
      </c>
      <c r="E778" s="1200">
        <v>0.21932446389999999</v>
      </c>
      <c r="F778" s="1200">
        <v>3.276361E-4</v>
      </c>
      <c r="G778" s="1200">
        <v>3.1008421E-3</v>
      </c>
    </row>
    <row r="779" spans="1:29">
      <c r="A779" s="1893"/>
      <c r="B779" s="690" t="s">
        <v>1641</v>
      </c>
      <c r="C779" s="690" t="s">
        <v>1637</v>
      </c>
      <c r="D779" s="1199">
        <v>0.24709274070000001</v>
      </c>
      <c r="E779" s="1200">
        <v>0.243289639</v>
      </c>
      <c r="F779" s="1200">
        <v>3.6343630000000002E-4</v>
      </c>
      <c r="G779" s="1200">
        <v>3.4396653999999999E-3</v>
      </c>
    </row>
    <row r="780" spans="1:29">
      <c r="A780" s="1893"/>
      <c r="B780" s="1985" t="s">
        <v>1930</v>
      </c>
      <c r="C780" s="1985"/>
      <c r="D780" s="1985"/>
      <c r="E780" s="1985"/>
      <c r="F780" s="1985"/>
      <c r="G780" s="1985"/>
    </row>
    <row r="781" spans="1:29">
      <c r="A781" s="1893"/>
      <c r="B781" s="690" t="s">
        <v>1636</v>
      </c>
      <c r="C781" s="690" t="s">
        <v>1637</v>
      </c>
      <c r="D781" s="1199">
        <v>0.12575972760000001</v>
      </c>
      <c r="E781" s="1200">
        <v>0.12053943540000001</v>
      </c>
      <c r="F781" s="1200">
        <v>1.5846091000000001E-3</v>
      </c>
      <c r="G781" s="1200">
        <v>3.6356830999999998E-3</v>
      </c>
    </row>
    <row r="782" spans="1:29">
      <c r="A782" s="1893"/>
      <c r="B782" s="690" t="s">
        <v>1925</v>
      </c>
      <c r="C782" s="690" t="s">
        <v>1637</v>
      </c>
      <c r="D782" s="1199">
        <v>0.13015455679999999</v>
      </c>
      <c r="E782" s="1200">
        <v>0.12475183500000001</v>
      </c>
      <c r="F782" s="1200">
        <v>1.6399851999999999E-3</v>
      </c>
      <c r="G782" s="1200">
        <v>3.7627365999999998E-3</v>
      </c>
    </row>
    <row r="783" spans="1:29">
      <c r="A783" s="1893"/>
      <c r="B783" s="690" t="s">
        <v>1926</v>
      </c>
      <c r="C783" s="690" t="s">
        <v>1637</v>
      </c>
      <c r="D783" s="1199">
        <v>0.1465506503</v>
      </c>
      <c r="E783" s="1200">
        <v>0.1404673259</v>
      </c>
      <c r="F783" s="1200">
        <v>1.8465807E-3</v>
      </c>
      <c r="G783" s="1200">
        <v>4.2367437000000001E-3</v>
      </c>
    </row>
    <row r="784" spans="1:29">
      <c r="A784" s="1893"/>
      <c r="B784" s="690" t="s">
        <v>1929</v>
      </c>
      <c r="C784" s="690" t="s">
        <v>1637</v>
      </c>
      <c r="D784" s="1199">
        <v>0.16277771190000001</v>
      </c>
      <c r="E784" s="1200">
        <v>0.15602080139999999</v>
      </c>
      <c r="F784" s="1200">
        <v>2.0510464000000001E-3</v>
      </c>
      <c r="G784" s="1200">
        <v>4.7058641000000002E-3</v>
      </c>
    </row>
    <row r="785" spans="1:7">
      <c r="A785" s="1893"/>
      <c r="B785" s="690" t="s">
        <v>1641</v>
      </c>
      <c r="C785" s="690" t="s">
        <v>1637</v>
      </c>
      <c r="D785" s="1199">
        <v>0.19472473949999999</v>
      </c>
      <c r="E785" s="1200">
        <v>0.1866417064</v>
      </c>
      <c r="F785" s="1200">
        <v>2.4535882000000001E-3</v>
      </c>
      <c r="G785" s="1200">
        <v>5.6294448999999998E-3</v>
      </c>
    </row>
    <row r="786" spans="1:7">
      <c r="A786" s="1893"/>
      <c r="B786" s="1985" t="s">
        <v>1931</v>
      </c>
      <c r="C786" s="1985"/>
      <c r="D786" s="1985"/>
      <c r="E786" s="1985"/>
      <c r="F786" s="1985"/>
      <c r="G786" s="1985"/>
    </row>
    <row r="787" spans="1:7">
      <c r="A787" s="1893"/>
      <c r="B787" s="690" t="s">
        <v>1636</v>
      </c>
      <c r="C787" s="690" t="s">
        <v>1637</v>
      </c>
      <c r="D787" s="1199">
        <v>0.15725488979999999</v>
      </c>
      <c r="E787" s="1200">
        <v>0.1548345179</v>
      </c>
      <c r="F787" s="1200">
        <v>2.312983E-4</v>
      </c>
      <c r="G787" s="1200">
        <v>2.1890735999999999E-3</v>
      </c>
    </row>
    <row r="788" spans="1:7">
      <c r="A788" s="1893"/>
      <c r="B788" s="690" t="s">
        <v>1925</v>
      </c>
      <c r="C788" s="690" t="s">
        <v>1637</v>
      </c>
      <c r="D788" s="1199">
        <v>0.1513285492</v>
      </c>
      <c r="E788" s="1200">
        <v>0.1489993919</v>
      </c>
      <c r="F788" s="1200">
        <v>2.225816E-4</v>
      </c>
      <c r="G788" s="1200">
        <v>2.1065757000000001E-3</v>
      </c>
    </row>
    <row r="789" spans="1:7">
      <c r="A789" s="1893"/>
      <c r="B789" s="690" t="s">
        <v>1926</v>
      </c>
      <c r="C789" s="690" t="s">
        <v>1637</v>
      </c>
      <c r="D789" s="1199">
        <v>0.160390635</v>
      </c>
      <c r="E789" s="1200">
        <v>0.15792199949999999</v>
      </c>
      <c r="F789" s="1200">
        <v>2.359106E-4</v>
      </c>
      <c r="G789" s="1200">
        <v>2.2327249E-3</v>
      </c>
    </row>
    <row r="790" spans="1:7">
      <c r="A790" s="1893"/>
      <c r="B790" s="690" t="s">
        <v>1929</v>
      </c>
      <c r="C790" s="690" t="s">
        <v>1637</v>
      </c>
      <c r="D790" s="1199">
        <v>0.1971805368</v>
      </c>
      <c r="E790" s="1200">
        <v>0.19414565349999999</v>
      </c>
      <c r="F790" s="1200">
        <v>2.9002299999999998E-4</v>
      </c>
      <c r="G790" s="1200">
        <v>2.7448603000000001E-3</v>
      </c>
    </row>
    <row r="791" spans="1:7">
      <c r="A791" s="1893"/>
      <c r="B791" s="690" t="s">
        <v>1641</v>
      </c>
      <c r="C791" s="690" t="s">
        <v>1637</v>
      </c>
      <c r="D791" s="1199">
        <v>0.21872608639999999</v>
      </c>
      <c r="E791" s="1200">
        <v>0.21535958699999999</v>
      </c>
      <c r="F791" s="1200">
        <v>3.2171320000000002E-4</v>
      </c>
      <c r="G791" s="1200">
        <v>3.0447860999999999E-3</v>
      </c>
    </row>
    <row r="792" spans="1:7">
      <c r="A792" s="1893"/>
      <c r="B792" s="1985" t="s">
        <v>1932</v>
      </c>
      <c r="C792" s="1985"/>
      <c r="D792" s="1985"/>
      <c r="E792" s="1985"/>
      <c r="F792" s="1985"/>
      <c r="G792" s="1985"/>
    </row>
    <row r="793" spans="1:7">
      <c r="A793" s="1893"/>
      <c r="B793" s="690" t="s">
        <v>1636</v>
      </c>
      <c r="C793" s="690" t="s">
        <v>1637</v>
      </c>
      <c r="D793" s="1199">
        <v>6.5814257400000006E-2</v>
      </c>
      <c r="E793" s="1200">
        <v>6.3082304500000005E-2</v>
      </c>
      <c r="F793" s="1200">
        <v>8.2927870000000005E-4</v>
      </c>
      <c r="G793" s="1200">
        <v>1.9026742000000001E-3</v>
      </c>
    </row>
    <row r="794" spans="1:7">
      <c r="A794" s="1893"/>
      <c r="B794" s="690" t="s">
        <v>1925</v>
      </c>
      <c r="C794" s="690" t="s">
        <v>1637</v>
      </c>
      <c r="D794" s="1199">
        <v>6.8114218000000004E-2</v>
      </c>
      <c r="E794" s="1200">
        <v>6.5286793699999998E-2</v>
      </c>
      <c r="F794" s="1200">
        <v>8.5825889999999996E-4</v>
      </c>
      <c r="G794" s="1200">
        <v>1.9691654999999999E-3</v>
      </c>
    </row>
    <row r="795" spans="1:7">
      <c r="A795" s="1893"/>
      <c r="B795" s="690" t="s">
        <v>1926</v>
      </c>
      <c r="C795" s="690" t="s">
        <v>1637</v>
      </c>
      <c r="D795" s="1199">
        <v>7.6694840299999997E-2</v>
      </c>
      <c r="E795" s="1200">
        <v>7.35112339E-2</v>
      </c>
      <c r="F795" s="1200">
        <v>9.6637719999999999E-4</v>
      </c>
      <c r="G795" s="1200">
        <v>2.2172291999999999E-3</v>
      </c>
    </row>
    <row r="796" spans="1:7">
      <c r="A796" s="1893"/>
      <c r="B796" s="690" t="s">
        <v>1929</v>
      </c>
      <c r="C796" s="690" t="s">
        <v>1637</v>
      </c>
      <c r="D796" s="1199">
        <v>8.5187002600000006E-2</v>
      </c>
      <c r="E796" s="1200">
        <v>8.16508861E-2</v>
      </c>
      <c r="F796" s="1200">
        <v>1.073381E-3</v>
      </c>
      <c r="G796" s="1200">
        <v>2.4627354999999999E-3</v>
      </c>
    </row>
    <row r="797" spans="1:7">
      <c r="A797" s="1893"/>
      <c r="B797" s="690" t="s">
        <v>1641</v>
      </c>
      <c r="C797" s="690" t="s">
        <v>1637</v>
      </c>
      <c r="D797" s="1199">
        <v>0.101905947</v>
      </c>
      <c r="E797" s="1200">
        <v>9.7675826300000004E-2</v>
      </c>
      <c r="F797" s="1200">
        <v>1.2840445E-3</v>
      </c>
      <c r="G797" s="1200">
        <v>2.9460761000000002E-3</v>
      </c>
    </row>
    <row r="798" spans="1:7">
      <c r="A798" s="1893"/>
      <c r="B798" s="1985" t="s">
        <v>1933</v>
      </c>
      <c r="C798" s="1985"/>
      <c r="D798" s="1985"/>
      <c r="E798" s="1985"/>
      <c r="F798" s="1985"/>
      <c r="G798" s="1985"/>
    </row>
    <row r="799" spans="1:7">
      <c r="A799" s="1893"/>
      <c r="B799" s="690" t="s">
        <v>1636</v>
      </c>
      <c r="C799" s="690" t="s">
        <v>1637</v>
      </c>
      <c r="D799" s="1199">
        <v>6.9480784E-3</v>
      </c>
      <c r="E799" s="1200">
        <v>6.7515657E-3</v>
      </c>
      <c r="F799" s="1200">
        <v>1.8166990000000001E-4</v>
      </c>
      <c r="G799" s="1200">
        <v>1.48429E-5</v>
      </c>
    </row>
    <row r="800" spans="1:7">
      <c r="A800" s="1893"/>
      <c r="B800" s="690" t="s">
        <v>1925</v>
      </c>
      <c r="C800" s="690" t="s">
        <v>1637</v>
      </c>
      <c r="D800" s="1199">
        <v>7.1908876000000002E-3</v>
      </c>
      <c r="E800" s="1200">
        <v>6.9875075000000002E-3</v>
      </c>
      <c r="F800" s="1200">
        <v>1.8801859999999999E-4</v>
      </c>
      <c r="G800" s="1200">
        <v>1.5361599999999999E-5</v>
      </c>
    </row>
    <row r="801" spans="1:7">
      <c r="A801" s="1893"/>
      <c r="B801" s="690" t="s">
        <v>1926</v>
      </c>
      <c r="C801" s="690" t="s">
        <v>1637</v>
      </c>
      <c r="D801" s="1199">
        <v>8.0967526999999994E-3</v>
      </c>
      <c r="E801" s="1200">
        <v>7.8677519000000008E-3</v>
      </c>
      <c r="F801" s="1200">
        <v>2.11704E-4</v>
      </c>
      <c r="G801" s="1200">
        <v>1.72968E-5</v>
      </c>
    </row>
    <row r="802" spans="1:7">
      <c r="A802" s="1893"/>
      <c r="B802" s="690" t="s">
        <v>1929</v>
      </c>
      <c r="C802" s="690" t="s">
        <v>1637</v>
      </c>
      <c r="D802" s="1199">
        <v>8.9932789999999999E-3</v>
      </c>
      <c r="E802" s="1200">
        <v>8.7389217000000009E-3</v>
      </c>
      <c r="F802" s="1200">
        <v>2.3514529999999999E-4</v>
      </c>
      <c r="G802" s="1200">
        <v>1.9211999999999998E-5</v>
      </c>
    </row>
    <row r="803" spans="1:7">
      <c r="A803" s="1893"/>
      <c r="B803" s="690" t="s">
        <v>1641</v>
      </c>
      <c r="C803" s="690" t="s">
        <v>1637</v>
      </c>
      <c r="D803" s="1199">
        <v>1.0758314999999999E-2</v>
      </c>
      <c r="E803" s="1200">
        <v>1.0454037100000001E-2</v>
      </c>
      <c r="F803" s="1200">
        <v>2.8129529999999998E-4</v>
      </c>
      <c r="G803" s="1200">
        <v>2.2982599999999999E-5</v>
      </c>
    </row>
    <row r="804" spans="1:7">
      <c r="A804" s="1893"/>
      <c r="B804" s="1985" t="s">
        <v>1934</v>
      </c>
      <c r="C804" s="1985"/>
      <c r="D804" s="1985"/>
      <c r="E804" s="1985"/>
      <c r="F804" s="1985"/>
      <c r="G804" s="1985"/>
    </row>
    <row r="805" spans="1:7">
      <c r="A805" s="1893"/>
      <c r="B805" s="690" t="s">
        <v>1636</v>
      </c>
      <c r="C805" s="690" t="s">
        <v>1637</v>
      </c>
      <c r="D805" s="1199">
        <v>8.2296725700000004E-2</v>
      </c>
      <c r="E805" s="1200">
        <v>8.1030064400000004E-2</v>
      </c>
      <c r="F805" s="1200">
        <v>1.210461E-4</v>
      </c>
      <c r="G805" s="1200">
        <v>1.1456152000000001E-3</v>
      </c>
    </row>
    <row r="806" spans="1:7">
      <c r="A806" s="1893"/>
      <c r="B806" s="690" t="s">
        <v>1925</v>
      </c>
      <c r="C806" s="690" t="s">
        <v>1637</v>
      </c>
      <c r="D806" s="1199">
        <v>7.9195274100000004E-2</v>
      </c>
      <c r="E806" s="1200">
        <v>7.7976348400000006E-2</v>
      </c>
      <c r="F806" s="1200">
        <v>1.1648440000000001E-4</v>
      </c>
      <c r="G806" s="1200">
        <v>1.1024412999999999E-3</v>
      </c>
    </row>
    <row r="807" spans="1:7">
      <c r="A807" s="1893"/>
      <c r="B807" s="690" t="s">
        <v>1926</v>
      </c>
      <c r="C807" s="690" t="s">
        <v>1637</v>
      </c>
      <c r="D807" s="1199">
        <v>8.3937765600000006E-2</v>
      </c>
      <c r="E807" s="1200">
        <v>8.26458464E-2</v>
      </c>
      <c r="F807" s="1200">
        <v>1.2345990000000001E-4</v>
      </c>
      <c r="G807" s="1200">
        <v>1.1684594000000001E-3</v>
      </c>
    </row>
    <row r="808" spans="1:7">
      <c r="A808" s="1893"/>
      <c r="B808" s="690" t="s">
        <v>1929</v>
      </c>
      <c r="C808" s="690" t="s">
        <v>1637</v>
      </c>
      <c r="D808" s="1199">
        <v>0.1031911476</v>
      </c>
      <c r="E808" s="1200">
        <v>0.101602892</v>
      </c>
      <c r="F808" s="1200">
        <v>1.517787E-4</v>
      </c>
      <c r="G808" s="1200">
        <v>1.4364769E-3</v>
      </c>
    </row>
    <row r="809" spans="1:7">
      <c r="A809" s="1893"/>
      <c r="B809" s="690" t="s">
        <v>1641</v>
      </c>
      <c r="C809" s="690" t="s">
        <v>1637</v>
      </c>
      <c r="D809" s="1199">
        <v>0.11446665189999999</v>
      </c>
      <c r="E809" s="1200">
        <v>0.1127048505</v>
      </c>
      <c r="F809" s="1200">
        <v>1.6836330000000001E-4</v>
      </c>
      <c r="G809" s="1200">
        <v>1.5934381E-3</v>
      </c>
    </row>
    <row r="810" spans="1:7">
      <c r="A810" s="1893"/>
      <c r="B810" s="1985" t="s">
        <v>1935</v>
      </c>
      <c r="C810" s="1985"/>
      <c r="D810" s="1985"/>
      <c r="E810" s="1985"/>
      <c r="F810" s="1985"/>
      <c r="G810" s="1985"/>
    </row>
    <row r="811" spans="1:7">
      <c r="A811" s="1893"/>
      <c r="B811" s="690" t="s">
        <v>1636</v>
      </c>
      <c r="C811" s="690" t="s">
        <v>1637</v>
      </c>
      <c r="D811" s="1199">
        <v>7.5781683000000002E-3</v>
      </c>
      <c r="E811" s="1200">
        <v>7.3638347000000003E-3</v>
      </c>
      <c r="F811" s="1200">
        <v>1.981447E-4</v>
      </c>
      <c r="G811" s="1200">
        <v>1.61889E-5</v>
      </c>
    </row>
    <row r="812" spans="1:7">
      <c r="A812" s="1893"/>
      <c r="B812" s="690" t="s">
        <v>1925</v>
      </c>
      <c r="C812" s="690" t="s">
        <v>1637</v>
      </c>
      <c r="D812" s="1199">
        <v>7.2785790999999999E-3</v>
      </c>
      <c r="E812" s="1200">
        <v>7.0727187999999998E-3</v>
      </c>
      <c r="F812" s="1200">
        <v>1.903114E-4</v>
      </c>
      <c r="G812" s="1200">
        <v>1.5548899999999999E-5</v>
      </c>
    </row>
    <row r="813" spans="1:7">
      <c r="A813" s="1893"/>
      <c r="B813" s="690" t="s">
        <v>1926</v>
      </c>
      <c r="C813" s="690" t="s">
        <v>1637</v>
      </c>
      <c r="D813" s="1199">
        <v>7.9750679000000005E-3</v>
      </c>
      <c r="E813" s="1200">
        <v>7.7495087999999998E-3</v>
      </c>
      <c r="F813" s="1200">
        <v>2.0852239999999999E-4</v>
      </c>
      <c r="G813" s="1200">
        <v>1.7036799999999999E-5</v>
      </c>
    </row>
    <row r="814" spans="1:7">
      <c r="A814" s="1893"/>
      <c r="B814" s="690" t="s">
        <v>1929</v>
      </c>
      <c r="C814" s="690" t="s">
        <v>1637</v>
      </c>
      <c r="D814" s="1199">
        <v>9.0266184999999999E-3</v>
      </c>
      <c r="E814" s="1200">
        <v>8.7713183000000007E-3</v>
      </c>
      <c r="F814" s="1200">
        <v>2.3601699999999999E-4</v>
      </c>
      <c r="G814" s="1200">
        <v>1.9283199999999999E-5</v>
      </c>
    </row>
    <row r="815" spans="1:7">
      <c r="A815" s="1893"/>
      <c r="B815" s="690" t="s">
        <v>1641</v>
      </c>
      <c r="C815" s="690" t="s">
        <v>1637</v>
      </c>
      <c r="D815" s="1199">
        <v>1.0676133399999999E-2</v>
      </c>
      <c r="E815" s="1200">
        <v>1.0374179900000001E-2</v>
      </c>
      <c r="F815" s="1200">
        <v>2.7914649999999998E-4</v>
      </c>
      <c r="G815" s="1200">
        <v>2.2807E-5</v>
      </c>
    </row>
    <row r="816" spans="1:7">
      <c r="A816" s="1893"/>
      <c r="B816" s="1985" t="s">
        <v>1936</v>
      </c>
      <c r="C816" s="1985"/>
      <c r="D816" s="1985"/>
      <c r="E816" s="1985"/>
      <c r="F816" s="1985"/>
      <c r="G816" s="1985"/>
    </row>
    <row r="817" spans="1:7">
      <c r="A817" s="1893"/>
      <c r="B817" s="690" t="s">
        <v>1636</v>
      </c>
      <c r="C817" s="690" t="s">
        <v>1637</v>
      </c>
      <c r="D817" s="1199">
        <v>1.4576388399999999E-2</v>
      </c>
      <c r="E817" s="1200">
        <v>1.41641237E-2</v>
      </c>
      <c r="F817" s="1200">
        <v>3.811256E-4</v>
      </c>
      <c r="G817" s="1200">
        <v>3.1139000000000001E-5</v>
      </c>
    </row>
    <row r="818" spans="1:7">
      <c r="A818" s="1893"/>
      <c r="B818" s="690" t="s">
        <v>1925</v>
      </c>
      <c r="C818" s="690" t="s">
        <v>1637</v>
      </c>
      <c r="D818" s="1199">
        <v>1.50857783E-2</v>
      </c>
      <c r="E818" s="1200">
        <v>1.4659106599999999E-2</v>
      </c>
      <c r="F818" s="1200">
        <v>3.9444449999999999E-4</v>
      </c>
      <c r="G818" s="1200">
        <v>3.2227200000000002E-5</v>
      </c>
    </row>
    <row r="819" spans="1:7">
      <c r="A819" s="1893"/>
      <c r="B819" s="690" t="s">
        <v>1926</v>
      </c>
      <c r="C819" s="690" t="s">
        <v>1637</v>
      </c>
      <c r="D819" s="1199">
        <v>1.6986194499999999E-2</v>
      </c>
      <c r="E819" s="1200">
        <v>1.6505773200000001E-2</v>
      </c>
      <c r="F819" s="1200">
        <v>4.4413429999999999E-4</v>
      </c>
      <c r="G819" s="1200">
        <v>3.62869E-5</v>
      </c>
    </row>
    <row r="820" spans="1:7">
      <c r="A820" s="1893"/>
      <c r="B820" s="690" t="s">
        <v>1929</v>
      </c>
      <c r="C820" s="690" t="s">
        <v>1637</v>
      </c>
      <c r="D820" s="1199">
        <v>1.88670188E-2</v>
      </c>
      <c r="E820" s="1200">
        <v>1.83334021E-2</v>
      </c>
      <c r="F820" s="1200">
        <v>4.9331180000000002E-4</v>
      </c>
      <c r="G820" s="1200">
        <v>4.0304900000000001E-5</v>
      </c>
    </row>
    <row r="821" spans="1:7">
      <c r="A821" s="1893"/>
      <c r="B821" s="690" t="s">
        <v>1641</v>
      </c>
      <c r="C821" s="690" t="s">
        <v>1637</v>
      </c>
      <c r="D821" s="1199">
        <v>2.2569891599999999E-2</v>
      </c>
      <c r="E821" s="1200">
        <v>2.1931546400000002E-2</v>
      </c>
      <c r="F821" s="1200">
        <v>5.9013000000000002E-4</v>
      </c>
      <c r="G821" s="1200">
        <v>4.8215199999999999E-5</v>
      </c>
    </row>
    <row r="822" spans="1:7">
      <c r="A822" s="1893"/>
      <c r="B822" s="1985" t="s">
        <v>1937</v>
      </c>
      <c r="C822" s="1985"/>
      <c r="D822" s="1985"/>
      <c r="E822" s="1985"/>
      <c r="F822" s="1985"/>
      <c r="G822" s="1985"/>
    </row>
    <row r="823" spans="1:7">
      <c r="A823" s="1893"/>
      <c r="B823" s="690" t="s">
        <v>1938</v>
      </c>
      <c r="C823" s="690" t="s">
        <v>1637</v>
      </c>
      <c r="D823" s="1199">
        <v>5.64877596E-2</v>
      </c>
      <c r="E823" s="1200">
        <v>5.4142950099999997E-2</v>
      </c>
      <c r="F823" s="1200">
        <v>7.1176219999999997E-4</v>
      </c>
      <c r="G823" s="1200">
        <v>1.6330474E-3</v>
      </c>
    </row>
    <row r="824" spans="1:7">
      <c r="A824" s="1893"/>
      <c r="B824" s="690" t="s">
        <v>1939</v>
      </c>
      <c r="C824" s="690" t="s">
        <v>1637</v>
      </c>
      <c r="D824" s="1199">
        <v>0.11297551929999999</v>
      </c>
      <c r="E824" s="1200">
        <v>0.1082859001</v>
      </c>
      <c r="F824" s="1200">
        <v>1.4235242999999999E-3</v>
      </c>
      <c r="G824" s="1200">
        <v>3.2660948E-3</v>
      </c>
    </row>
    <row r="825" spans="1:7">
      <c r="A825" s="1893"/>
      <c r="B825" s="690" t="s">
        <v>1940</v>
      </c>
      <c r="C825" s="690" t="s">
        <v>1637</v>
      </c>
      <c r="D825" s="1199">
        <v>3.7151511999999999E-3</v>
      </c>
      <c r="E825" s="1200">
        <v>3.6100754000000001E-3</v>
      </c>
      <c r="F825" s="1200">
        <v>9.7139200000000007E-5</v>
      </c>
      <c r="G825" s="1200">
        <v>7.9364999999999993E-6</v>
      </c>
    </row>
    <row r="826" spans="1:7">
      <c r="A826" s="1893"/>
      <c r="B826" s="690" t="s">
        <v>1941</v>
      </c>
      <c r="C826" s="690" t="s">
        <v>1637</v>
      </c>
      <c r="D826" s="1199">
        <v>7.4303023000000003E-3</v>
      </c>
      <c r="E826" s="1200">
        <v>7.2201508000000001E-3</v>
      </c>
      <c r="F826" s="1200">
        <v>1.9427849999999999E-4</v>
      </c>
      <c r="G826" s="1200">
        <v>1.5873099999999999E-5</v>
      </c>
    </row>
    <row r="827" spans="1:7">
      <c r="A827" s="167"/>
    </row>
    <row r="828" spans="1:7">
      <c r="A828" s="1891" t="s">
        <v>1942</v>
      </c>
      <c r="B828" s="1891"/>
      <c r="C828" s="1891"/>
      <c r="D828" s="1891"/>
      <c r="E828" s="1891"/>
      <c r="F828" s="1891"/>
    </row>
    <row r="829" spans="1:7">
      <c r="A829" s="1892" t="s">
        <v>1613</v>
      </c>
      <c r="B829" s="1892"/>
      <c r="C829" s="689" t="s">
        <v>1340</v>
      </c>
      <c r="D829" s="689" t="s">
        <v>1107</v>
      </c>
      <c r="E829" s="689" t="s">
        <v>1943</v>
      </c>
      <c r="F829" s="689" t="s">
        <v>1944</v>
      </c>
    </row>
    <row r="830" spans="1:7">
      <c r="A830" s="1893" t="s">
        <v>1945</v>
      </c>
      <c r="B830" s="690" t="s">
        <v>185</v>
      </c>
      <c r="C830" s="690" t="s">
        <v>1946</v>
      </c>
      <c r="D830" s="691">
        <v>50</v>
      </c>
      <c r="E830" s="690" t="s">
        <v>1947</v>
      </c>
      <c r="F830" s="690" t="s">
        <v>1682</v>
      </c>
    </row>
    <row r="831" spans="1:7">
      <c r="A831" s="1893"/>
      <c r="B831" s="690" t="s">
        <v>1108</v>
      </c>
      <c r="C831" s="690" t="s">
        <v>1946</v>
      </c>
      <c r="D831" s="691">
        <v>38.9</v>
      </c>
      <c r="E831" s="690" t="s">
        <v>1947</v>
      </c>
      <c r="F831" s="690" t="s">
        <v>1682</v>
      </c>
    </row>
    <row r="832" spans="1:7">
      <c r="A832" s="1893"/>
      <c r="B832" s="690" t="s">
        <v>1109</v>
      </c>
      <c r="C832" s="690" t="s">
        <v>1946</v>
      </c>
      <c r="D832" s="691">
        <v>11.9</v>
      </c>
      <c r="E832" s="690" t="s">
        <v>1947</v>
      </c>
      <c r="F832" s="690" t="s">
        <v>1682</v>
      </c>
    </row>
    <row r="833" spans="1:6">
      <c r="A833" s="1893"/>
      <c r="B833" s="690" t="s">
        <v>1110</v>
      </c>
      <c r="C833" s="690" t="s">
        <v>1946</v>
      </c>
      <c r="D833" s="691">
        <v>11.6</v>
      </c>
      <c r="E833" s="690" t="s">
        <v>1947</v>
      </c>
      <c r="F833" s="690" t="s">
        <v>1682</v>
      </c>
    </row>
    <row r="834" spans="1:6">
      <c r="A834" s="1893"/>
      <c r="B834" s="690" t="s">
        <v>1111</v>
      </c>
      <c r="C834" s="690" t="s">
        <v>1946</v>
      </c>
      <c r="D834" s="691">
        <v>14.9</v>
      </c>
      <c r="E834" s="690" t="s">
        <v>1947</v>
      </c>
      <c r="F834" s="690" t="s">
        <v>1682</v>
      </c>
    </row>
    <row r="835" spans="1:6">
      <c r="A835" s="1893"/>
      <c r="B835" s="690" t="s">
        <v>1112</v>
      </c>
      <c r="C835" s="690" t="s">
        <v>1946</v>
      </c>
      <c r="D835" s="691">
        <v>17.100000000000001</v>
      </c>
      <c r="E835" s="690" t="s">
        <v>1947</v>
      </c>
      <c r="F835" s="690" t="s">
        <v>1682</v>
      </c>
    </row>
    <row r="836" spans="1:6">
      <c r="A836" s="1893"/>
      <c r="B836" s="690" t="s">
        <v>1113</v>
      </c>
      <c r="C836" s="690" t="s">
        <v>1946</v>
      </c>
      <c r="D836" s="691">
        <v>61.1</v>
      </c>
      <c r="E836" s="690" t="s">
        <v>1947</v>
      </c>
      <c r="F836" s="690" t="s">
        <v>1682</v>
      </c>
    </row>
    <row r="837" spans="1:6">
      <c r="A837" s="1893"/>
      <c r="B837" s="690" t="s">
        <v>722</v>
      </c>
      <c r="C837" s="690" t="s">
        <v>1946</v>
      </c>
      <c r="D837" s="691">
        <v>30.8</v>
      </c>
      <c r="E837" s="690" t="s">
        <v>1947</v>
      </c>
      <c r="F837" s="690" t="s">
        <v>1682</v>
      </c>
    </row>
    <row r="838" spans="1:6">
      <c r="A838" s="1893"/>
      <c r="B838" s="690" t="s">
        <v>1114</v>
      </c>
      <c r="C838" s="690" t="s">
        <v>1946</v>
      </c>
      <c r="D838" s="691">
        <v>60.7</v>
      </c>
      <c r="E838" s="690" t="s">
        <v>1947</v>
      </c>
      <c r="F838" s="690" t="s">
        <v>1682</v>
      </c>
    </row>
    <row r="839" spans="1:6">
      <c r="A839" s="1893"/>
      <c r="B839" s="690" t="s">
        <v>1115</v>
      </c>
      <c r="C839" s="690" t="s">
        <v>1946</v>
      </c>
      <c r="D839" s="691">
        <v>11</v>
      </c>
      <c r="E839" s="690" t="s">
        <v>1947</v>
      </c>
      <c r="F839" s="690" t="s">
        <v>1682</v>
      </c>
    </row>
    <row r="840" spans="1:6">
      <c r="A840" s="1893"/>
      <c r="B840" s="690" t="s">
        <v>1116</v>
      </c>
      <c r="C840" s="690" t="s">
        <v>1946</v>
      </c>
      <c r="D840" s="691">
        <v>7</v>
      </c>
      <c r="E840" s="690" t="s">
        <v>1947</v>
      </c>
      <c r="F840" s="690" t="s">
        <v>1682</v>
      </c>
    </row>
    <row r="841" spans="1:6">
      <c r="A841" s="1893"/>
      <c r="B841" s="690" t="s">
        <v>1117</v>
      </c>
      <c r="C841" s="690" t="s">
        <v>1946</v>
      </c>
      <c r="D841" s="691">
        <v>31.8</v>
      </c>
      <c r="E841" s="690" t="s">
        <v>1947</v>
      </c>
      <c r="F841" s="690" t="s">
        <v>1682</v>
      </c>
    </row>
    <row r="842" spans="1:6">
      <c r="A842" s="1893"/>
      <c r="B842" s="690" t="s">
        <v>1118</v>
      </c>
      <c r="C842" s="690" t="s">
        <v>1946</v>
      </c>
      <c r="D842" s="691">
        <v>54</v>
      </c>
      <c r="E842" s="690" t="s">
        <v>1947</v>
      </c>
      <c r="F842" s="690" t="s">
        <v>1682</v>
      </c>
    </row>
    <row r="843" spans="1:6">
      <c r="A843" s="1893"/>
      <c r="B843" s="690" t="s">
        <v>1119</v>
      </c>
      <c r="C843" s="690" t="s">
        <v>1946</v>
      </c>
      <c r="D843" s="691">
        <v>54.8</v>
      </c>
      <c r="E843" s="690" t="s">
        <v>1947</v>
      </c>
      <c r="F843" s="690" t="s">
        <v>1682</v>
      </c>
    </row>
    <row r="844" spans="1:6">
      <c r="A844" s="1893"/>
      <c r="B844" s="690" t="s">
        <v>1120</v>
      </c>
      <c r="C844" s="690" t="s">
        <v>1946</v>
      </c>
      <c r="D844" s="691">
        <v>11.1</v>
      </c>
      <c r="E844" s="690" t="s">
        <v>1947</v>
      </c>
      <c r="F844" s="690" t="s">
        <v>1682</v>
      </c>
    </row>
    <row r="845" spans="1:6">
      <c r="A845" s="1893"/>
      <c r="B845" s="690" t="s">
        <v>1121</v>
      </c>
      <c r="C845" s="690" t="s">
        <v>1946</v>
      </c>
      <c r="D845" s="691">
        <v>7.5</v>
      </c>
      <c r="E845" s="690" t="s">
        <v>1947</v>
      </c>
      <c r="F845" s="690" t="s">
        <v>1682</v>
      </c>
    </row>
    <row r="846" spans="1:6">
      <c r="A846" s="1893"/>
      <c r="B846" s="690" t="s">
        <v>1122</v>
      </c>
      <c r="C846" s="690" t="s">
        <v>1946</v>
      </c>
      <c r="D846" s="691">
        <v>18.2</v>
      </c>
      <c r="E846" s="690" t="s">
        <v>1947</v>
      </c>
      <c r="F846" s="690" t="s">
        <v>1682</v>
      </c>
    </row>
    <row r="847" spans="1:6">
      <c r="A847" s="1893"/>
      <c r="B847" s="690" t="s">
        <v>1123</v>
      </c>
      <c r="C847" s="690" t="s">
        <v>1946</v>
      </c>
      <c r="D847" s="691">
        <v>42.8</v>
      </c>
      <c r="E847" s="690" t="s">
        <v>1947</v>
      </c>
      <c r="F847" s="690" t="s">
        <v>1682</v>
      </c>
    </row>
    <row r="848" spans="1:6">
      <c r="A848" s="1893"/>
      <c r="B848" s="690" t="s">
        <v>1124</v>
      </c>
      <c r="C848" s="690" t="s">
        <v>1946</v>
      </c>
      <c r="D848" s="691">
        <v>66.2</v>
      </c>
      <c r="E848" s="690" t="s">
        <v>1947</v>
      </c>
      <c r="F848" s="690" t="s">
        <v>1682</v>
      </c>
    </row>
    <row r="849" spans="1:6">
      <c r="A849" s="1893"/>
      <c r="B849" s="690" t="s">
        <v>1125</v>
      </c>
      <c r="C849" s="690" t="s">
        <v>1946</v>
      </c>
      <c r="D849" s="691">
        <v>22</v>
      </c>
      <c r="E849" s="690" t="s">
        <v>1947</v>
      </c>
      <c r="F849" s="690" t="s">
        <v>1682</v>
      </c>
    </row>
    <row r="850" spans="1:6">
      <c r="A850" s="1893"/>
      <c r="B850" s="690" t="s">
        <v>1126</v>
      </c>
      <c r="C850" s="690" t="s">
        <v>1946</v>
      </c>
      <c r="D850" s="691">
        <v>66</v>
      </c>
      <c r="E850" s="690" t="s">
        <v>1947</v>
      </c>
      <c r="F850" s="690" t="s">
        <v>1682</v>
      </c>
    </row>
    <row r="851" spans="1:6">
      <c r="A851" s="1893"/>
      <c r="B851" s="690" t="s">
        <v>1127</v>
      </c>
      <c r="C851" s="690" t="s">
        <v>1946</v>
      </c>
      <c r="D851" s="691">
        <v>88.2</v>
      </c>
      <c r="E851" s="690" t="s">
        <v>1947</v>
      </c>
      <c r="F851" s="690" t="s">
        <v>1682</v>
      </c>
    </row>
    <row r="852" spans="1:6">
      <c r="A852" s="1893"/>
      <c r="B852" s="690" t="s">
        <v>1128</v>
      </c>
      <c r="C852" s="690" t="s">
        <v>1946</v>
      </c>
      <c r="D852" s="691">
        <v>23.9</v>
      </c>
      <c r="E852" s="690" t="s">
        <v>1947</v>
      </c>
      <c r="F852" s="690" t="s">
        <v>1682</v>
      </c>
    </row>
    <row r="853" spans="1:6">
      <c r="A853" s="1893"/>
      <c r="B853" s="690" t="s">
        <v>1129</v>
      </c>
      <c r="C853" s="690" t="s">
        <v>1946</v>
      </c>
      <c r="D853" s="691">
        <v>51.8</v>
      </c>
      <c r="E853" s="690" t="s">
        <v>1947</v>
      </c>
      <c r="F853" s="690" t="s">
        <v>1682</v>
      </c>
    </row>
    <row r="854" spans="1:6">
      <c r="A854" s="1893"/>
      <c r="B854" s="690" t="s">
        <v>1130</v>
      </c>
      <c r="C854" s="690" t="s">
        <v>1946</v>
      </c>
      <c r="D854" s="691">
        <v>23.9</v>
      </c>
      <c r="E854" s="690" t="s">
        <v>1947</v>
      </c>
      <c r="F854" s="690" t="s">
        <v>1682</v>
      </c>
    </row>
    <row r="855" spans="1:6">
      <c r="A855" s="1893"/>
      <c r="B855" s="690" t="s">
        <v>1131</v>
      </c>
      <c r="C855" s="690" t="s">
        <v>1946</v>
      </c>
      <c r="D855" s="691">
        <v>54.7</v>
      </c>
      <c r="E855" s="690" t="s">
        <v>1947</v>
      </c>
      <c r="F855" s="690" t="s">
        <v>1682</v>
      </c>
    </row>
    <row r="856" spans="1:6">
      <c r="A856" s="1893"/>
      <c r="B856" s="690" t="s">
        <v>1132</v>
      </c>
      <c r="C856" s="690" t="s">
        <v>1946</v>
      </c>
      <c r="D856" s="691">
        <v>64.5</v>
      </c>
      <c r="E856" s="690" t="s">
        <v>1947</v>
      </c>
      <c r="F856" s="690" t="s">
        <v>1682</v>
      </c>
    </row>
    <row r="857" spans="1:6">
      <c r="A857" s="1893"/>
      <c r="B857" s="690" t="s">
        <v>1133</v>
      </c>
      <c r="C857" s="690" t="s">
        <v>1946</v>
      </c>
      <c r="D857" s="691">
        <v>105.7</v>
      </c>
      <c r="E857" s="690" t="s">
        <v>1947</v>
      </c>
      <c r="F857" s="690" t="s">
        <v>1682</v>
      </c>
    </row>
    <row r="858" spans="1:6">
      <c r="A858" s="1893"/>
      <c r="B858" s="690" t="s">
        <v>1134</v>
      </c>
      <c r="C858" s="690" t="s">
        <v>1946</v>
      </c>
      <c r="D858" s="691">
        <v>68.099999999999994</v>
      </c>
      <c r="E858" s="690" t="s">
        <v>1947</v>
      </c>
      <c r="F858" s="690" t="s">
        <v>1682</v>
      </c>
    </row>
    <row r="859" spans="1:6">
      <c r="A859" s="1893"/>
      <c r="B859" s="690" t="s">
        <v>1135</v>
      </c>
      <c r="C859" s="690" t="s">
        <v>1946</v>
      </c>
      <c r="D859" s="691">
        <v>80.3</v>
      </c>
      <c r="E859" s="690" t="s">
        <v>1947</v>
      </c>
      <c r="F859" s="690" t="s">
        <v>1682</v>
      </c>
    </row>
    <row r="860" spans="1:6">
      <c r="A860" s="1893"/>
      <c r="B860" s="690" t="s">
        <v>1136</v>
      </c>
      <c r="C860" s="690" t="s">
        <v>1946</v>
      </c>
      <c r="D860" s="691">
        <v>176.5</v>
      </c>
      <c r="E860" s="690" t="s">
        <v>1947</v>
      </c>
      <c r="F860" s="690" t="s">
        <v>1682</v>
      </c>
    </row>
    <row r="861" spans="1:6">
      <c r="A861" s="1893"/>
      <c r="B861" s="690" t="s">
        <v>1137</v>
      </c>
      <c r="C861" s="690" t="s">
        <v>1946</v>
      </c>
      <c r="D861" s="691">
        <v>27</v>
      </c>
      <c r="E861" s="690" t="s">
        <v>1947</v>
      </c>
      <c r="F861" s="690" t="s">
        <v>1682</v>
      </c>
    </row>
    <row r="862" spans="1:6">
      <c r="A862" s="1893"/>
      <c r="B862" s="690" t="s">
        <v>1138</v>
      </c>
      <c r="C862" s="690" t="s">
        <v>1946</v>
      </c>
      <c r="D862" s="691">
        <v>104</v>
      </c>
      <c r="E862" s="690" t="s">
        <v>1947</v>
      </c>
      <c r="F862" s="690" t="s">
        <v>1682</v>
      </c>
    </row>
    <row r="863" spans="1:6">
      <c r="A863" s="1893"/>
      <c r="B863" s="690" t="s">
        <v>1139</v>
      </c>
      <c r="C863" s="690" t="s">
        <v>1946</v>
      </c>
      <c r="D863" s="691">
        <v>21.2</v>
      </c>
      <c r="E863" s="690" t="s">
        <v>1947</v>
      </c>
      <c r="F863" s="690" t="s">
        <v>1682</v>
      </c>
    </row>
    <row r="864" spans="1:6">
      <c r="A864" s="1893"/>
      <c r="B864" s="690" t="s">
        <v>1140</v>
      </c>
      <c r="C864" s="690" t="s">
        <v>1946</v>
      </c>
      <c r="D864" s="691">
        <v>9.4</v>
      </c>
      <c r="E864" s="690" t="s">
        <v>1947</v>
      </c>
      <c r="F864" s="690" t="s">
        <v>1682</v>
      </c>
    </row>
    <row r="865" spans="1:6">
      <c r="A865" s="1893"/>
      <c r="B865" s="690" t="s">
        <v>1141</v>
      </c>
      <c r="C865" s="690" t="s">
        <v>1946</v>
      </c>
      <c r="D865" s="691">
        <v>117.3</v>
      </c>
      <c r="E865" s="690" t="s">
        <v>1947</v>
      </c>
      <c r="F865" s="690" t="s">
        <v>1682</v>
      </c>
    </row>
    <row r="866" spans="1:6">
      <c r="A866" s="1893"/>
      <c r="B866" s="690" t="s">
        <v>1142</v>
      </c>
      <c r="C866" s="690" t="s">
        <v>1946</v>
      </c>
      <c r="D866" s="691">
        <v>23.7</v>
      </c>
      <c r="E866" s="690" t="s">
        <v>1947</v>
      </c>
      <c r="F866" s="690" t="s">
        <v>1682</v>
      </c>
    </row>
    <row r="867" spans="1:6">
      <c r="A867" s="1893"/>
      <c r="B867" s="690" t="s">
        <v>723</v>
      </c>
      <c r="C867" s="690" t="s">
        <v>1946</v>
      </c>
      <c r="D867" s="691">
        <v>29.9</v>
      </c>
      <c r="E867" s="690" t="s">
        <v>1947</v>
      </c>
      <c r="F867" s="690" t="s">
        <v>1682</v>
      </c>
    </row>
    <row r="868" spans="1:6">
      <c r="A868" s="1893"/>
      <c r="B868" s="690" t="s">
        <v>1143</v>
      </c>
      <c r="C868" s="690" t="s">
        <v>1946</v>
      </c>
      <c r="D868" s="691">
        <v>62.9</v>
      </c>
      <c r="E868" s="690" t="s">
        <v>1947</v>
      </c>
      <c r="F868" s="690" t="s">
        <v>1682</v>
      </c>
    </row>
    <row r="869" spans="1:6">
      <c r="A869" s="1893"/>
      <c r="B869" s="690" t="s">
        <v>1144</v>
      </c>
      <c r="C869" s="690" t="s">
        <v>1946</v>
      </c>
      <c r="D869" s="691">
        <v>35.799999999999997</v>
      </c>
      <c r="E869" s="690" t="s">
        <v>1947</v>
      </c>
      <c r="F869" s="690" t="s">
        <v>1682</v>
      </c>
    </row>
    <row r="870" spans="1:6">
      <c r="A870" s="1893"/>
      <c r="B870" s="690" t="s">
        <v>1145</v>
      </c>
      <c r="C870" s="690" t="s">
        <v>1946</v>
      </c>
      <c r="D870" s="691">
        <v>27.2</v>
      </c>
      <c r="E870" s="690" t="s">
        <v>1947</v>
      </c>
      <c r="F870" s="690" t="s">
        <v>1682</v>
      </c>
    </row>
    <row r="871" spans="1:6">
      <c r="A871" s="1893"/>
      <c r="B871" s="690" t="s">
        <v>1146</v>
      </c>
      <c r="C871" s="690" t="s">
        <v>1946</v>
      </c>
      <c r="D871" s="691">
        <v>104.9</v>
      </c>
      <c r="E871" s="690" t="s">
        <v>1947</v>
      </c>
      <c r="F871" s="690" t="s">
        <v>1682</v>
      </c>
    </row>
    <row r="872" spans="1:6">
      <c r="A872" s="1893"/>
      <c r="B872" s="690" t="s">
        <v>1147</v>
      </c>
      <c r="C872" s="690" t="s">
        <v>1946</v>
      </c>
      <c r="D872" s="691">
        <v>25.5</v>
      </c>
      <c r="E872" s="690" t="s">
        <v>1947</v>
      </c>
      <c r="F872" s="690" t="s">
        <v>1682</v>
      </c>
    </row>
    <row r="873" spans="1:6">
      <c r="A873" s="1893"/>
      <c r="B873" s="690" t="s">
        <v>1148</v>
      </c>
      <c r="C873" s="690" t="s">
        <v>1946</v>
      </c>
      <c r="D873" s="691">
        <v>30.9</v>
      </c>
      <c r="E873" s="690" t="s">
        <v>1947</v>
      </c>
      <c r="F873" s="690" t="s">
        <v>1682</v>
      </c>
    </row>
    <row r="874" spans="1:6">
      <c r="A874" s="1893"/>
      <c r="B874" s="690" t="s">
        <v>1149</v>
      </c>
      <c r="C874" s="690" t="s">
        <v>1946</v>
      </c>
      <c r="D874" s="691">
        <v>112.5</v>
      </c>
      <c r="E874" s="690" t="s">
        <v>1947</v>
      </c>
      <c r="F874" s="690" t="s">
        <v>1682</v>
      </c>
    </row>
    <row r="875" spans="1:6">
      <c r="A875" s="1893"/>
      <c r="B875" s="690" t="s">
        <v>1150</v>
      </c>
      <c r="C875" s="690" t="s">
        <v>1946</v>
      </c>
      <c r="D875" s="691">
        <v>28.5</v>
      </c>
      <c r="E875" s="690" t="s">
        <v>1947</v>
      </c>
      <c r="F875" s="690" t="s">
        <v>1682</v>
      </c>
    </row>
    <row r="876" spans="1:6">
      <c r="A876" s="1893"/>
      <c r="B876" s="690" t="s">
        <v>1151</v>
      </c>
      <c r="C876" s="690" t="s">
        <v>1946</v>
      </c>
      <c r="D876" s="691">
        <v>56.6</v>
      </c>
      <c r="E876" s="690" t="s">
        <v>1947</v>
      </c>
      <c r="F876" s="690" t="s">
        <v>1682</v>
      </c>
    </row>
    <row r="877" spans="1:6">
      <c r="A877" s="1893"/>
      <c r="B877" s="690" t="s">
        <v>1152</v>
      </c>
      <c r="C877" s="690" t="s">
        <v>1946</v>
      </c>
      <c r="D877" s="691">
        <v>56.5</v>
      </c>
      <c r="E877" s="690" t="s">
        <v>1947</v>
      </c>
      <c r="F877" s="690" t="s">
        <v>1682</v>
      </c>
    </row>
    <row r="878" spans="1:6">
      <c r="A878" s="1893"/>
      <c r="B878" s="690" t="s">
        <v>1153</v>
      </c>
      <c r="C878" s="690" t="s">
        <v>1946</v>
      </c>
      <c r="D878" s="691">
        <v>16.3</v>
      </c>
      <c r="E878" s="690" t="s">
        <v>1947</v>
      </c>
      <c r="F878" s="690" t="s">
        <v>1682</v>
      </c>
    </row>
    <row r="879" spans="1:6">
      <c r="A879" s="1893"/>
      <c r="B879" s="690" t="s">
        <v>1154</v>
      </c>
      <c r="C879" s="690" t="s">
        <v>1946</v>
      </c>
      <c r="D879" s="691">
        <v>7.4</v>
      </c>
      <c r="E879" s="690" t="s">
        <v>1947</v>
      </c>
      <c r="F879" s="690" t="s">
        <v>1682</v>
      </c>
    </row>
    <row r="880" spans="1:6">
      <c r="A880" s="1893"/>
      <c r="B880" s="690" t="s">
        <v>1155</v>
      </c>
      <c r="C880" s="690" t="s">
        <v>1946</v>
      </c>
      <c r="D880" s="691">
        <v>55.9</v>
      </c>
      <c r="E880" s="690" t="s">
        <v>1947</v>
      </c>
      <c r="F880" s="690" t="s">
        <v>1682</v>
      </c>
    </row>
    <row r="881" spans="1:17">
      <c r="A881" s="1893"/>
      <c r="B881" s="690" t="s">
        <v>1156</v>
      </c>
      <c r="C881" s="690" t="s">
        <v>1946</v>
      </c>
      <c r="D881" s="691">
        <v>38</v>
      </c>
      <c r="E881" s="690" t="s">
        <v>1947</v>
      </c>
      <c r="F881" s="690" t="s">
        <v>1682</v>
      </c>
    </row>
    <row r="882" spans="1:17">
      <c r="A882" s="1893"/>
      <c r="B882" s="690" t="s">
        <v>1157</v>
      </c>
      <c r="C882" s="690" t="s">
        <v>1946</v>
      </c>
      <c r="D882" s="691">
        <v>95.9</v>
      </c>
      <c r="E882" s="690" t="s">
        <v>1947</v>
      </c>
      <c r="F882" s="690" t="s">
        <v>1682</v>
      </c>
    </row>
    <row r="883" spans="1:17">
      <c r="A883" s="1893"/>
      <c r="B883" s="690" t="s">
        <v>1158</v>
      </c>
      <c r="C883" s="690" t="s">
        <v>1946</v>
      </c>
      <c r="D883" s="691">
        <v>13.4</v>
      </c>
      <c r="E883" s="690" t="s">
        <v>1947</v>
      </c>
      <c r="F883" s="690" t="s">
        <v>1682</v>
      </c>
    </row>
    <row r="884" spans="1:17">
      <c r="A884" s="1893"/>
      <c r="B884" s="690" t="s">
        <v>1159</v>
      </c>
      <c r="C884" s="690" t="s">
        <v>1946</v>
      </c>
      <c r="D884" s="691">
        <v>19.8</v>
      </c>
      <c r="E884" s="690" t="s">
        <v>1947</v>
      </c>
      <c r="F884" s="690" t="s">
        <v>1682</v>
      </c>
    </row>
    <row r="885" spans="1:17">
      <c r="A885" s="1893"/>
      <c r="B885" s="690" t="s">
        <v>1160</v>
      </c>
      <c r="C885" s="690" t="s">
        <v>1946</v>
      </c>
      <c r="D885" s="691">
        <v>49.2</v>
      </c>
      <c r="E885" s="690" t="s">
        <v>1947</v>
      </c>
      <c r="F885" s="690" t="s">
        <v>1682</v>
      </c>
    </row>
    <row r="886" spans="1:17" ht="15.75">
      <c r="A886" s="255" t="s">
        <v>1948</v>
      </c>
    </row>
    <row r="887" spans="1:17" ht="23.25">
      <c r="A887" s="1802" t="s">
        <v>88</v>
      </c>
      <c r="B887" s="1803"/>
      <c r="C887" s="1803"/>
      <c r="D887" s="1803"/>
      <c r="E887" s="1803"/>
      <c r="F887" s="1803"/>
      <c r="G887" s="1803"/>
      <c r="H887" s="1803"/>
      <c r="I887" s="1803"/>
      <c r="J887" s="1803"/>
      <c r="K887" s="1803"/>
      <c r="L887" s="1803"/>
      <c r="M887" s="1803"/>
      <c r="N887" s="1803"/>
      <c r="O887" s="1803"/>
      <c r="P887" s="1803"/>
      <c r="Q887" s="1804"/>
    </row>
    <row r="888" spans="1:17">
      <c r="A888" s="6" t="s">
        <v>1588</v>
      </c>
    </row>
    <row r="889" spans="1:17">
      <c r="A889" s="2"/>
    </row>
    <row r="890" spans="1:17">
      <c r="A890" s="2"/>
    </row>
    <row r="891" spans="1:17">
      <c r="A891" s="2"/>
    </row>
    <row r="892" spans="1:17">
      <c r="A892" s="2"/>
    </row>
    <row r="893" spans="1:17">
      <c r="A893" s="2"/>
    </row>
    <row r="894" spans="1:17">
      <c r="A894" s="2"/>
    </row>
    <row r="895" spans="1:17">
      <c r="A895" s="2"/>
    </row>
    <row r="896" spans="1:17">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7">
      <c r="A945" s="2"/>
    </row>
    <row r="947" spans="1:17" ht="23.25">
      <c r="A947" s="1802" t="s">
        <v>131</v>
      </c>
      <c r="B947" s="1803"/>
      <c r="C947" s="1803"/>
      <c r="D947" s="1803"/>
      <c r="E947" s="1803"/>
      <c r="F947" s="1803"/>
      <c r="G947" s="1803"/>
      <c r="H947" s="1803"/>
      <c r="I947" s="1803"/>
      <c r="J947" s="1803"/>
      <c r="K947" s="1803"/>
      <c r="L947" s="1803"/>
      <c r="M947" s="1803"/>
      <c r="N947" s="1803"/>
      <c r="O947" s="1803"/>
      <c r="P947" s="1803"/>
      <c r="Q947" s="1804"/>
    </row>
    <row r="949" spans="1:17">
      <c r="A949" s="2156" t="s">
        <v>2349</v>
      </c>
      <c r="B949" s="2157"/>
      <c r="C949" s="2157"/>
      <c r="D949" s="2157"/>
      <c r="E949" s="2158"/>
    </row>
    <row r="950" spans="1:17">
      <c r="A950" s="1366" t="s">
        <v>1417</v>
      </c>
      <c r="B950" s="1366" t="s">
        <v>1694</v>
      </c>
      <c r="C950" s="1366" t="s">
        <v>2350</v>
      </c>
      <c r="D950" s="1366" t="s">
        <v>2351</v>
      </c>
      <c r="E950" s="1366" t="s">
        <v>1950</v>
      </c>
      <c r="F950" s="10" t="s">
        <v>2352</v>
      </c>
    </row>
    <row r="951" spans="1:17">
      <c r="A951" s="1367" t="s">
        <v>1191</v>
      </c>
      <c r="B951" s="1368">
        <v>1740.2670000000001</v>
      </c>
      <c r="C951" s="1327"/>
      <c r="D951" s="1327"/>
      <c r="E951" s="1327" t="s">
        <v>1951</v>
      </c>
      <c r="F951" s="6" t="s">
        <v>1952</v>
      </c>
    </row>
    <row r="952" spans="1:17">
      <c r="A952" s="1367" t="s">
        <v>1191</v>
      </c>
      <c r="B952" s="1327">
        <v>857.5</v>
      </c>
      <c r="C952" s="1327"/>
      <c r="D952" s="1327"/>
      <c r="E952" s="1327" t="s">
        <v>1953</v>
      </c>
      <c r="F952" s="6" t="s">
        <v>1954</v>
      </c>
    </row>
    <row r="953" spans="1:17">
      <c r="A953" s="1365" t="s">
        <v>941</v>
      </c>
      <c r="B953" s="1327">
        <v>3.63</v>
      </c>
      <c r="C953" s="1327">
        <v>3.18</v>
      </c>
      <c r="D953" s="1327">
        <v>4.18</v>
      </c>
      <c r="E953" s="1327" t="s">
        <v>1955</v>
      </c>
      <c r="F953" t="s">
        <v>2331</v>
      </c>
    </row>
    <row r="954" spans="1:17">
      <c r="A954" s="1365" t="s">
        <v>1193</v>
      </c>
      <c r="B954" s="1327">
        <v>5.91</v>
      </c>
      <c r="C954" s="1327">
        <v>3.49</v>
      </c>
      <c r="D954" s="1327">
        <v>13.62</v>
      </c>
      <c r="E954" s="1327" t="s">
        <v>1955</v>
      </c>
      <c r="F954" t="s">
        <v>2331</v>
      </c>
    </row>
    <row r="955" spans="1:17">
      <c r="A955" s="1365" t="s">
        <v>1194</v>
      </c>
      <c r="B955" s="1327">
        <v>2.99</v>
      </c>
      <c r="C955" s="1327">
        <v>2.2999999999999998</v>
      </c>
      <c r="D955" s="1327">
        <v>3.89</v>
      </c>
      <c r="E955" s="1327" t="s">
        <v>1955</v>
      </c>
      <c r="F955" t="s">
        <v>2331</v>
      </c>
    </row>
    <row r="956" spans="1:17">
      <c r="A956" s="1365" t="s">
        <v>1956</v>
      </c>
      <c r="B956" s="1327">
        <v>8.14</v>
      </c>
      <c r="C956" s="1327">
        <v>6.77</v>
      </c>
      <c r="D956" s="1327">
        <v>12.73</v>
      </c>
      <c r="E956" s="1327" t="s">
        <v>1955</v>
      </c>
      <c r="F956" t="s">
        <v>2331</v>
      </c>
      <c r="H956" s="1379" t="s">
        <v>2058</v>
      </c>
    </row>
    <row r="957" spans="1:17">
      <c r="A957" s="1365" t="s">
        <v>1195</v>
      </c>
      <c r="B957" s="1327">
        <v>8.18</v>
      </c>
      <c r="C957" s="1327">
        <v>6.8</v>
      </c>
      <c r="D957" s="1327">
        <v>12.76</v>
      </c>
      <c r="E957" s="1327" t="s">
        <v>1955</v>
      </c>
      <c r="F957" t="s">
        <v>2331</v>
      </c>
    </row>
    <row r="958" spans="1:17">
      <c r="A958" s="1365" t="s">
        <v>1197</v>
      </c>
      <c r="B958" s="1327">
        <v>2.2799999999999998</v>
      </c>
      <c r="C958" s="1327">
        <v>0.75</v>
      </c>
      <c r="D958" s="1327">
        <v>5.46</v>
      </c>
      <c r="E958" s="1327" t="s">
        <v>1955</v>
      </c>
      <c r="F958" t="s">
        <v>2331</v>
      </c>
    </row>
    <row r="959" spans="1:17">
      <c r="A959" s="1365" t="s">
        <v>1198</v>
      </c>
      <c r="B959" s="1327">
        <v>3.53</v>
      </c>
      <c r="C959" s="1327">
        <v>2.5299999999999998</v>
      </c>
      <c r="D959" s="1327">
        <v>4.47</v>
      </c>
      <c r="E959" s="1327" t="s">
        <v>1957</v>
      </c>
      <c r="F959" t="s">
        <v>2353</v>
      </c>
    </row>
    <row r="960" spans="1:17">
      <c r="A960" s="1365" t="s">
        <v>548</v>
      </c>
      <c r="B960" s="1327">
        <v>0.54</v>
      </c>
      <c r="C960" s="1327">
        <v>-0.06</v>
      </c>
      <c r="D960" s="1327">
        <v>0.85</v>
      </c>
      <c r="E960" s="1327" t="s">
        <v>1957</v>
      </c>
      <c r="F960" t="s">
        <v>2353</v>
      </c>
    </row>
    <row r="961" spans="1:6">
      <c r="A961" s="1365" t="s">
        <v>549</v>
      </c>
      <c r="B961" s="1327">
        <v>0.61</v>
      </c>
      <c r="C961" s="1327">
        <v>0.4</v>
      </c>
      <c r="D961" s="1327">
        <v>0.83</v>
      </c>
      <c r="E961" s="1327" t="s">
        <v>1957</v>
      </c>
      <c r="F961" t="s">
        <v>2353</v>
      </c>
    </row>
    <row r="962" spans="1:6">
      <c r="A962" s="1365" t="s">
        <v>550</v>
      </c>
      <c r="B962" s="1327">
        <v>7.3999999999999996E-2</v>
      </c>
      <c r="C962" s="1327">
        <v>5.3999999999999999E-2</v>
      </c>
      <c r="D962" s="1327">
        <v>8.8999999999999996E-2</v>
      </c>
      <c r="E962" s="1327" t="s">
        <v>1957</v>
      </c>
      <c r="F962" t="s">
        <v>2353</v>
      </c>
    </row>
    <row r="981" spans="1:29" s="22" customFormat="1" ht="15.75">
      <c r="A981" s="669" t="s">
        <v>1417</v>
      </c>
      <c r="B981" s="669" t="s">
        <v>967</v>
      </c>
      <c r="C981" s="669" t="s">
        <v>1418</v>
      </c>
      <c r="D981" s="669" t="s">
        <v>1340</v>
      </c>
      <c r="F981" s="264"/>
      <c r="V981" s="1284"/>
      <c r="W981" s="1284"/>
      <c r="Z981"/>
      <c r="AA981"/>
      <c r="AB981"/>
      <c r="AC981"/>
    </row>
    <row r="982" spans="1:29" s="22" customFormat="1" ht="47.25">
      <c r="A982" s="670" t="s">
        <v>548</v>
      </c>
      <c r="B982" s="671" t="s">
        <v>2354</v>
      </c>
      <c r="C982" s="672">
        <v>3.1337000000000002</v>
      </c>
      <c r="D982" s="266" t="s">
        <v>1420</v>
      </c>
      <c r="F982" s="264"/>
      <c r="V982" s="1284"/>
      <c r="W982" s="1284"/>
      <c r="Z982"/>
      <c r="AA982"/>
      <c r="AB982"/>
      <c r="AC982"/>
    </row>
    <row r="983" spans="1:29" s="22" customFormat="1" ht="63">
      <c r="A983" s="670" t="s">
        <v>549</v>
      </c>
      <c r="B983" s="671" t="s">
        <v>2355</v>
      </c>
      <c r="C983" s="673">
        <v>3.8645</v>
      </c>
      <c r="D983" s="266" t="s">
        <v>1420</v>
      </c>
      <c r="F983" s="264"/>
      <c r="V983" s="1284"/>
      <c r="W983" s="1284"/>
      <c r="Z983"/>
      <c r="AA983"/>
      <c r="AB983"/>
      <c r="AC983"/>
    </row>
    <row r="984" spans="1:29" s="22" customFormat="1" ht="47.25">
      <c r="A984" s="670" t="s">
        <v>550</v>
      </c>
      <c r="B984" s="671" t="s">
        <v>2356</v>
      </c>
      <c r="C984" s="672">
        <v>3.9821000000000002E-2</v>
      </c>
      <c r="D984" s="266" t="s">
        <v>1420</v>
      </c>
      <c r="F984" s="264"/>
      <c r="V984" s="1284"/>
      <c r="W984" s="1284"/>
      <c r="Z984"/>
      <c r="AA984"/>
      <c r="AB984"/>
      <c r="AC984"/>
    </row>
    <row r="986" spans="1:29" ht="15.75">
      <c r="A986" s="24" t="s">
        <v>1965</v>
      </c>
    </row>
    <row r="987" spans="1:29">
      <c r="A987" s="68" t="s">
        <v>1966</v>
      </c>
    </row>
    <row r="988" spans="1:29">
      <c r="A988" s="68" t="s">
        <v>1967</v>
      </c>
    </row>
    <row r="990" spans="1:29" ht="23.25">
      <c r="A990" s="1802" t="s">
        <v>1968</v>
      </c>
      <c r="B990" s="1803"/>
      <c r="C990" s="1803"/>
      <c r="D990" s="1803"/>
      <c r="E990" s="1803"/>
      <c r="F990" s="1803"/>
      <c r="G990" s="1803"/>
      <c r="H990" s="1803"/>
      <c r="I990" s="1803"/>
      <c r="J990" s="1803"/>
      <c r="K990" s="1803"/>
      <c r="L990" s="1803"/>
      <c r="M990" s="1803"/>
      <c r="N990" s="1803"/>
      <c r="O990" s="1803"/>
      <c r="P990" s="1803"/>
      <c r="Q990" s="1804"/>
    </row>
    <row r="991" spans="1:29" ht="16.5" thickBot="1">
      <c r="Z991" s="22"/>
      <c r="AA991" s="22"/>
      <c r="AB991" s="22"/>
      <c r="AC991" s="22"/>
    </row>
    <row r="992" spans="1:29" ht="32.25" thickBot="1">
      <c r="A992" s="52"/>
      <c r="B992" s="56" t="s">
        <v>1969</v>
      </c>
      <c r="C992" s="56" t="s">
        <v>1970</v>
      </c>
      <c r="D992" s="56" t="s">
        <v>1971</v>
      </c>
      <c r="F992" s="291" t="s">
        <v>2357</v>
      </c>
      <c r="Z992" s="22"/>
      <c r="AA992" s="22"/>
      <c r="AB992" s="22"/>
      <c r="AC992" s="22"/>
    </row>
    <row r="993" spans="1:29" ht="15.75">
      <c r="A993" s="53"/>
      <c r="B993" s="1986" t="s">
        <v>1974</v>
      </c>
      <c r="C993" s="1987"/>
      <c r="D993" s="1988"/>
      <c r="F993" s="1248">
        <v>0.60299999999999998</v>
      </c>
      <c r="Z993" s="22"/>
      <c r="AA993" s="22"/>
      <c r="AB993" s="22"/>
      <c r="AC993" s="22"/>
    </row>
    <row r="994" spans="1:29" ht="16.5" thickBot="1">
      <c r="A994" s="53"/>
      <c r="B994" s="1842"/>
      <c r="C994" s="1843"/>
      <c r="D994" s="1844"/>
      <c r="Z994" s="22"/>
      <c r="AA994" s="22"/>
      <c r="AB994" s="22"/>
      <c r="AC994" s="22"/>
    </row>
    <row r="995" spans="1:29" ht="60.75" thickBot="1">
      <c r="A995" s="53" t="s">
        <v>1975</v>
      </c>
      <c r="B995" s="1845" t="s">
        <v>1976</v>
      </c>
      <c r="C995" s="1845" t="s">
        <v>1977</v>
      </c>
      <c r="D995" s="143" t="s">
        <v>1978</v>
      </c>
      <c r="H995" s="1379" t="s">
        <v>2058</v>
      </c>
    </row>
    <row r="996" spans="1:29" ht="45.75" thickBot="1">
      <c r="A996" s="54"/>
      <c r="B996" s="1846"/>
      <c r="C996" s="1846"/>
      <c r="D996" s="144" t="s">
        <v>1979</v>
      </c>
      <c r="F996" s="1979" t="s">
        <v>1058</v>
      </c>
      <c r="G996" s="617" t="s">
        <v>1591</v>
      </c>
    </row>
    <row r="997" spans="1:29" ht="18.75" thickBot="1">
      <c r="A997" s="58"/>
      <c r="B997" s="144" t="s">
        <v>1980</v>
      </c>
      <c r="C997" s="144">
        <v>200</v>
      </c>
      <c r="D997" s="144"/>
      <c r="F997" s="1980"/>
      <c r="G997" s="618" t="s">
        <v>1593</v>
      </c>
    </row>
    <row r="998" spans="1:29" ht="15.75" thickBot="1">
      <c r="A998" s="54"/>
      <c r="B998" s="144" t="s">
        <v>1981</v>
      </c>
      <c r="C998" s="144" t="s">
        <v>1982</v>
      </c>
      <c r="D998" s="144"/>
      <c r="F998" s="683" t="s">
        <v>722</v>
      </c>
      <c r="G998" s="684">
        <v>0.56699999999999995</v>
      </c>
    </row>
    <row r="999" spans="1:29" ht="15.75" thickBot="1">
      <c r="A999" s="54"/>
      <c r="B999" s="1847" t="s">
        <v>1983</v>
      </c>
      <c r="C999" s="1848"/>
      <c r="D999" s="1849"/>
      <c r="F999" s="683" t="s">
        <v>185</v>
      </c>
      <c r="G999" s="684">
        <v>0.313</v>
      </c>
    </row>
    <row r="1000" spans="1:29" ht="15.75" thickBot="1">
      <c r="A1000" s="54"/>
      <c r="B1000" s="1910" t="s">
        <v>1984</v>
      </c>
      <c r="C1000" s="1911"/>
      <c r="D1000" s="1912"/>
      <c r="F1000" s="683" t="s">
        <v>723</v>
      </c>
      <c r="G1000" s="684">
        <v>0.18</v>
      </c>
    </row>
    <row r="1001" spans="1:29">
      <c r="A1001" s="54"/>
      <c r="B1001" s="1918" t="s">
        <v>1985</v>
      </c>
      <c r="C1001" s="1919"/>
      <c r="D1001" s="1920"/>
    </row>
    <row r="1002" spans="1:29" ht="15.75" thickBot="1">
      <c r="A1002" s="55"/>
      <c r="B1002" s="1842"/>
      <c r="C1002" s="1843"/>
      <c r="D1002" s="1844"/>
    </row>
    <row r="1004" spans="1:29" ht="15.75" thickBot="1">
      <c r="A1004" s="1913" t="s">
        <v>1986</v>
      </c>
      <c r="B1004" s="57" t="s">
        <v>1969</v>
      </c>
      <c r="C1004" s="57" t="s">
        <v>1970</v>
      </c>
      <c r="D1004" s="57" t="s">
        <v>1971</v>
      </c>
    </row>
    <row r="1005" spans="1:29" ht="15.75" thickBot="1">
      <c r="A1005" s="1913"/>
      <c r="B1005" s="1915" t="s">
        <v>1987</v>
      </c>
      <c r="C1005" s="1916"/>
      <c r="D1005" s="1917"/>
    </row>
    <row r="1006" spans="1:29" ht="60.75" thickBot="1">
      <c r="A1006" s="1913"/>
      <c r="B1006" s="144" t="s">
        <v>1988</v>
      </c>
      <c r="C1006" s="144" t="s">
        <v>1989</v>
      </c>
      <c r="D1006" s="143" t="s">
        <v>1990</v>
      </c>
    </row>
    <row r="1007" spans="1:29" ht="75.75" thickBot="1">
      <c r="A1007" s="1913"/>
      <c r="B1007" s="144" t="s">
        <v>1991</v>
      </c>
      <c r="C1007" s="144" t="s">
        <v>1992</v>
      </c>
      <c r="D1007" s="144" t="s">
        <v>1993</v>
      </c>
    </row>
    <row r="1008" spans="1:29">
      <c r="A1008" s="1913"/>
      <c r="B1008" s="1847" t="s">
        <v>1983</v>
      </c>
      <c r="C1008" s="1848"/>
      <c r="D1008" s="1849"/>
    </row>
    <row r="1009" spans="1:4">
      <c r="A1009" s="1913"/>
      <c r="B1009" s="1910" t="s">
        <v>1994</v>
      </c>
      <c r="C1009" s="1911"/>
      <c r="D1009" s="1912"/>
    </row>
    <row r="1010" spans="1:4" ht="15.75" thickBot="1">
      <c r="A1010" s="1914"/>
      <c r="B1010" s="1842"/>
      <c r="C1010" s="1843"/>
      <c r="D1010" s="1844"/>
    </row>
    <row r="1012" spans="1:4" ht="15.75" thickBot="1">
      <c r="A1012" s="276" t="s">
        <v>1995</v>
      </c>
    </row>
    <row r="1013" spans="1:4">
      <c r="A1013" s="1989" t="s">
        <v>1996</v>
      </c>
      <c r="B1013" s="277" t="s">
        <v>1819</v>
      </c>
    </row>
    <row r="1014" spans="1:4" ht="15.75" thickBot="1">
      <c r="A1014" s="1990"/>
      <c r="B1014" s="278" t="s">
        <v>1997</v>
      </c>
    </row>
    <row r="1015" spans="1:4" ht="15.75" thickBot="1">
      <c r="A1015" s="286"/>
      <c r="B1015" s="1249">
        <v>0.79</v>
      </c>
    </row>
    <row r="1016" spans="1:4" ht="15.75" thickBot="1">
      <c r="A1016" s="286" t="s">
        <v>2358</v>
      </c>
      <c r="B1016" s="1249">
        <v>0.96</v>
      </c>
    </row>
    <row r="1017" spans="1:4" ht="15.75" thickBot="1">
      <c r="A1017" s="286" t="s">
        <v>2359</v>
      </c>
      <c r="B1017" s="1249">
        <v>0.8</v>
      </c>
    </row>
    <row r="1018" spans="1:4" ht="15.75" thickBot="1">
      <c r="A1018" s="286" t="s">
        <v>2360</v>
      </c>
      <c r="B1018" s="1249">
        <v>0.35</v>
      </c>
    </row>
    <row r="1019" spans="1:4" ht="23.25" thickBot="1">
      <c r="A1019" s="286" t="s">
        <v>2361</v>
      </c>
      <c r="B1019" s="1249">
        <v>0.68</v>
      </c>
    </row>
    <row r="1020" spans="1:4" ht="23.25" thickBot="1">
      <c r="A1020" s="286" t="s">
        <v>2362</v>
      </c>
      <c r="B1020" s="1249">
        <v>0.57999999999999996</v>
      </c>
    </row>
    <row r="1021" spans="1:4" ht="23.25" thickBot="1">
      <c r="A1021" s="286" t="s">
        <v>2363</v>
      </c>
      <c r="B1021" s="1249">
        <v>0.54</v>
      </c>
    </row>
    <row r="1022" spans="1:4" ht="15.75" thickBot="1">
      <c r="A1022" s="286" t="s">
        <v>2364</v>
      </c>
      <c r="B1022" s="1249">
        <v>0.16</v>
      </c>
    </row>
    <row r="1023" spans="1:4" ht="15.75" thickBot="1">
      <c r="A1023" s="286"/>
      <c r="B1023" s="1249">
        <v>0.56999999999999995</v>
      </c>
      <c r="D1023" s="5" t="s">
        <v>2365</v>
      </c>
    </row>
    <row r="1024" spans="1:4" ht="15.75">
      <c r="A1024" s="255" t="s">
        <v>2366</v>
      </c>
      <c r="D1024">
        <f>AVERAGE(B1015:B1023)</f>
        <v>0.60333333333333339</v>
      </c>
    </row>
    <row r="1025" spans="1:17">
      <c r="A1025" s="250" t="s">
        <v>2271</v>
      </c>
      <c r="B1025" s="279"/>
      <c r="C1025" s="279"/>
    </row>
    <row r="1027" spans="1:17" ht="23.25">
      <c r="A1027" s="1802" t="s">
        <v>1999</v>
      </c>
      <c r="B1027" s="1803"/>
      <c r="C1027" s="1803"/>
      <c r="D1027" s="1803"/>
      <c r="E1027" s="1803"/>
      <c r="F1027" s="1803"/>
      <c r="G1027" s="1803"/>
      <c r="H1027" s="1803"/>
      <c r="I1027" s="1803"/>
      <c r="J1027" s="1803"/>
      <c r="K1027" s="1803"/>
      <c r="L1027" s="1803"/>
      <c r="M1027" s="1803"/>
      <c r="N1027" s="1803"/>
      <c r="O1027" s="1803"/>
      <c r="P1027" s="1803"/>
      <c r="Q1027" s="1804"/>
    </row>
    <row r="1030" spans="1:17">
      <c r="A1030" s="10" t="s">
        <v>2000</v>
      </c>
    </row>
    <row r="1047" spans="1:17" ht="23.25">
      <c r="A1047" s="1802" t="s">
        <v>2001</v>
      </c>
      <c r="B1047" s="1803"/>
      <c r="C1047" s="1803"/>
      <c r="D1047" s="1803"/>
      <c r="E1047" s="1803"/>
      <c r="F1047" s="1803"/>
      <c r="G1047" s="1803"/>
      <c r="H1047" s="1803"/>
      <c r="I1047" s="1803"/>
      <c r="J1047" s="1803"/>
      <c r="K1047" s="1803"/>
      <c r="L1047" s="1803"/>
      <c r="M1047" s="1803"/>
      <c r="N1047" s="1803"/>
      <c r="O1047" s="1803"/>
      <c r="P1047" s="1803"/>
      <c r="Q1047" s="1804"/>
    </row>
    <row r="1048" spans="1:17">
      <c r="A1048" s="6" t="s">
        <v>1412</v>
      </c>
    </row>
    <row r="1050" spans="1:17" ht="15.75">
      <c r="A1050" s="11" t="s">
        <v>2002</v>
      </c>
      <c r="E1050" s="9"/>
    </row>
    <row r="1051" spans="1:17" ht="15.75">
      <c r="A1051" s="11" t="s">
        <v>2003</v>
      </c>
      <c r="E1051" s="9"/>
    </row>
    <row r="1052" spans="1:17">
      <c r="A1052" s="2" t="s">
        <v>2004</v>
      </c>
      <c r="E1052" s="9"/>
    </row>
    <row r="1055" spans="1:17" ht="23.25">
      <c r="A1055" s="1802" t="s">
        <v>1233</v>
      </c>
      <c r="B1055" s="1803"/>
      <c r="C1055" s="1803"/>
      <c r="D1055" s="1803"/>
      <c r="E1055" s="1803"/>
      <c r="F1055" s="1803"/>
      <c r="G1055" s="1803"/>
      <c r="H1055" s="1803"/>
      <c r="I1055" s="1803"/>
      <c r="J1055" s="1803"/>
      <c r="K1055" s="1803"/>
      <c r="L1055" s="1803"/>
      <c r="M1055" s="1803"/>
      <c r="N1055" s="1803"/>
      <c r="O1055" s="1803"/>
      <c r="P1055" s="1803"/>
      <c r="Q1055" s="1804"/>
    </row>
    <row r="1056" spans="1:17">
      <c r="A1056" s="6" t="s">
        <v>1412</v>
      </c>
      <c r="B1056" s="3"/>
      <c r="C1056" s="3"/>
      <c r="D1056" s="3"/>
      <c r="F1056" s="1"/>
      <c r="G1056" s="3"/>
    </row>
    <row r="1057" spans="1:7">
      <c r="A1057" s="1862" t="s">
        <v>2005</v>
      </c>
      <c r="B1057" s="1862"/>
      <c r="C1057" s="1862"/>
      <c r="D1057" s="1862"/>
      <c r="E1057" s="1862"/>
      <c r="F1057" s="1862"/>
      <c r="G1057" s="1862"/>
    </row>
    <row r="1058" spans="1:7">
      <c r="A1058" s="1862" t="s">
        <v>2006</v>
      </c>
      <c r="B1058" s="1862"/>
      <c r="C1058" s="1862"/>
      <c r="D1058" s="1862"/>
      <c r="E1058" s="1862"/>
      <c r="F1058" s="1862"/>
      <c r="G1058" s="1862"/>
    </row>
    <row r="1060" spans="1:7">
      <c r="A1060" s="1863" t="s">
        <v>2007</v>
      </c>
      <c r="B1060" s="1863"/>
      <c r="C1060" s="1863"/>
      <c r="D1060" s="1863"/>
      <c r="E1060" s="1863"/>
      <c r="F1060" s="1863"/>
    </row>
    <row r="1061" spans="1:7">
      <c r="A1061" s="12" t="s">
        <v>2008</v>
      </c>
      <c r="B1061" s="13"/>
      <c r="C1061" s="14"/>
      <c r="D1061" s="14"/>
      <c r="E1061" s="14"/>
      <c r="F1061" s="14"/>
    </row>
    <row r="1062" spans="1:7">
      <c r="A1062" s="12" t="s">
        <v>2009</v>
      </c>
      <c r="B1062" s="13"/>
      <c r="C1062" s="14"/>
      <c r="D1062" s="14"/>
      <c r="E1062" s="14"/>
      <c r="F1062" s="14"/>
    </row>
    <row r="1063" spans="1:7">
      <c r="A1063" s="12" t="s">
        <v>2010</v>
      </c>
      <c r="B1063" s="13"/>
      <c r="C1063" s="14"/>
      <c r="D1063" s="14"/>
      <c r="E1063" s="14"/>
      <c r="F1063" s="14"/>
    </row>
    <row r="1064" spans="1:7">
      <c r="A1064" s="12" t="s">
        <v>2011</v>
      </c>
      <c r="B1064" s="13"/>
      <c r="C1064" s="14"/>
      <c r="D1064" s="14"/>
      <c r="E1064" s="14"/>
      <c r="F1064" s="14"/>
    </row>
    <row r="1065" spans="1:7">
      <c r="A1065" t="s">
        <v>2012</v>
      </c>
      <c r="B1065" s="1"/>
      <c r="C1065" s="3"/>
      <c r="D1065" s="3"/>
      <c r="E1065" s="3"/>
      <c r="F1065" s="3"/>
    </row>
    <row r="1066" spans="1:7">
      <c r="A1066" t="s">
        <v>2013</v>
      </c>
      <c r="B1066" s="1"/>
      <c r="C1066" s="3"/>
      <c r="D1066" s="3"/>
      <c r="E1066" s="3"/>
      <c r="F1066" s="3"/>
    </row>
    <row r="1067" spans="1:7">
      <c r="A1067" t="s">
        <v>2014</v>
      </c>
      <c r="B1067" s="1"/>
      <c r="C1067" s="3"/>
      <c r="D1067" s="3"/>
      <c r="E1067" s="3"/>
      <c r="F1067" s="3"/>
    </row>
    <row r="1068" spans="1:7">
      <c r="A1068" s="15" t="s">
        <v>2015</v>
      </c>
      <c r="B1068" s="16"/>
      <c r="C1068" s="17"/>
      <c r="D1068" s="3"/>
      <c r="E1068" s="3"/>
      <c r="F1068" s="3"/>
    </row>
    <row r="1069" spans="1:7">
      <c r="A1069" t="s">
        <v>2016</v>
      </c>
      <c r="B1069" s="1"/>
      <c r="C1069" s="18">
        <v>0.106</v>
      </c>
      <c r="D1069" s="3"/>
      <c r="E1069" s="3"/>
      <c r="F1069" s="3"/>
    </row>
    <row r="1070" spans="1:7">
      <c r="A1070" t="s">
        <v>2017</v>
      </c>
      <c r="B1070" s="1"/>
      <c r="C1070" s="18">
        <v>5.1999999999999998E-2</v>
      </c>
      <c r="D1070" s="3"/>
      <c r="E1070" s="3"/>
      <c r="F1070" s="3"/>
    </row>
    <row r="1071" spans="1:7">
      <c r="A1071" t="s">
        <v>2018</v>
      </c>
      <c r="B1071" s="1"/>
      <c r="C1071" s="18">
        <v>2.3E-2</v>
      </c>
      <c r="D1071" s="3"/>
      <c r="E1071" s="3"/>
      <c r="F1071" s="3"/>
    </row>
    <row r="1072" spans="1:7">
      <c r="A1072" t="s">
        <v>2019</v>
      </c>
      <c r="B1072" s="1"/>
      <c r="C1072" s="18">
        <v>0.191</v>
      </c>
      <c r="D1072" s="3"/>
      <c r="E1072" s="3"/>
      <c r="F1072" s="3"/>
    </row>
    <row r="1073" spans="1:10">
      <c r="A1073" t="s">
        <v>2020</v>
      </c>
      <c r="B1073" s="1"/>
      <c r="C1073" s="18">
        <v>0.128</v>
      </c>
      <c r="D1073" s="3"/>
      <c r="E1073" s="3"/>
      <c r="F1073" s="3"/>
    </row>
    <row r="1074" spans="1:10">
      <c r="A1074" t="s">
        <v>2021</v>
      </c>
      <c r="B1074" s="1"/>
      <c r="C1074" s="19">
        <v>0.5</v>
      </c>
      <c r="D1074" s="3"/>
      <c r="E1074" s="3"/>
      <c r="F1074" s="3"/>
    </row>
    <row r="1076" spans="1:10" ht="18.75">
      <c r="A1076" s="20" t="s">
        <v>2022</v>
      </c>
      <c r="B1076" s="3"/>
      <c r="C1076" s="3"/>
      <c r="D1076" s="3"/>
      <c r="E1076" s="3"/>
      <c r="G1076" s="1"/>
      <c r="H1076" s="19"/>
      <c r="I1076" s="3"/>
    </row>
    <row r="1077" spans="1:10">
      <c r="A1077" t="s">
        <v>2013</v>
      </c>
      <c r="B1077" s="3"/>
      <c r="C1077" s="3"/>
      <c r="D1077" s="3"/>
      <c r="E1077" s="3"/>
      <c r="G1077" s="1"/>
      <c r="H1077" s="19"/>
      <c r="I1077" s="3"/>
    </row>
    <row r="1078" spans="1:10">
      <c r="A1078" t="s">
        <v>2014</v>
      </c>
      <c r="B1078" s="3"/>
      <c r="C1078" s="3"/>
      <c r="D1078" s="3"/>
      <c r="E1078" s="3"/>
      <c r="G1078" s="1"/>
      <c r="H1078" s="19"/>
      <c r="I1078" s="3"/>
    </row>
    <row r="1079" spans="1:10">
      <c r="A1079" s="1861" t="s">
        <v>2023</v>
      </c>
      <c r="B1079" s="1861"/>
      <c r="C1079" s="1861"/>
      <c r="D1079" s="1861"/>
      <c r="E1079" s="1861"/>
      <c r="F1079" s="1861"/>
      <c r="G1079" s="1861"/>
      <c r="H1079" s="1861"/>
      <c r="I1079" s="1861"/>
    </row>
    <row r="1080" spans="1:10">
      <c r="A1080" s="1861" t="s">
        <v>2024</v>
      </c>
      <c r="B1080" s="1861"/>
      <c r="C1080" s="1861"/>
      <c r="D1080" s="1861"/>
      <c r="E1080" s="1861"/>
      <c r="F1080" s="1861"/>
      <c r="G1080" s="1861"/>
      <c r="H1080" s="3"/>
      <c r="I1080" s="3"/>
    </row>
    <row r="1081" spans="1:10">
      <c r="A1081" s="1861" t="s">
        <v>2025</v>
      </c>
      <c r="B1081" s="1861"/>
      <c r="C1081" s="1861"/>
      <c r="D1081" s="1861"/>
      <c r="E1081" s="1861"/>
      <c r="F1081" s="1861"/>
      <c r="G1081" s="1861"/>
      <c r="H1081" s="1861"/>
      <c r="I1081" s="3"/>
    </row>
    <row r="1082" spans="1:10">
      <c r="A1082" s="1861" t="s">
        <v>2026</v>
      </c>
      <c r="B1082" s="1861"/>
      <c r="C1082" s="1861"/>
      <c r="D1082" s="1861"/>
      <c r="E1082" s="1861"/>
      <c r="F1082" s="1861"/>
      <c r="G1082" s="1861"/>
      <c r="H1082" s="1861"/>
      <c r="I1082" s="3"/>
      <c r="J1082" s="3"/>
    </row>
    <row r="1083" spans="1:10">
      <c r="A1083" s="1861" t="s">
        <v>2027</v>
      </c>
      <c r="B1083" s="1861"/>
      <c r="C1083" s="1861"/>
      <c r="D1083" s="1861"/>
      <c r="E1083" s="1861"/>
      <c r="F1083" s="1861"/>
      <c r="G1083" s="1861"/>
      <c r="H1083" s="1861"/>
      <c r="I1083" s="1861"/>
      <c r="J1083" s="1861"/>
    </row>
    <row r="1084" spans="1:10">
      <c r="A1084" s="1861" t="s">
        <v>2028</v>
      </c>
      <c r="B1084" s="1861"/>
      <c r="C1084" s="1861"/>
      <c r="D1084" s="1861"/>
      <c r="E1084" s="1861"/>
      <c r="F1084" s="1861"/>
      <c r="G1084" s="1861"/>
      <c r="H1084" s="1861"/>
      <c r="I1084" s="1861"/>
      <c r="J1084" s="3"/>
    </row>
    <row r="1085" spans="1:10">
      <c r="A1085" s="1861" t="s">
        <v>2029</v>
      </c>
      <c r="B1085" s="1861"/>
      <c r="C1085" s="1861"/>
      <c r="D1085" s="1861"/>
      <c r="E1085" s="1861"/>
      <c r="F1085" s="1861"/>
      <c r="G1085" s="1861"/>
      <c r="H1085" s="1861"/>
      <c r="I1085" s="3"/>
      <c r="J1085" s="3"/>
    </row>
    <row r="1086" spans="1:10">
      <c r="A1086" s="1861" t="s">
        <v>2030</v>
      </c>
      <c r="B1086" s="1861"/>
      <c r="C1086" s="1861"/>
      <c r="D1086" s="1861"/>
      <c r="E1086" s="1861"/>
      <c r="F1086" s="1861"/>
      <c r="G1086" s="1861"/>
      <c r="H1086" s="1861"/>
      <c r="I1086" s="3"/>
      <c r="J1086" s="3"/>
    </row>
    <row r="1087" spans="1:10">
      <c r="A1087" s="1861" t="s">
        <v>2031</v>
      </c>
      <c r="B1087" s="1861"/>
      <c r="C1087" s="1861"/>
      <c r="D1087" s="1861"/>
      <c r="E1087" s="1861"/>
      <c r="F1087" s="1861"/>
      <c r="G1087" s="1861"/>
      <c r="H1087" s="1861"/>
      <c r="I1087" s="3"/>
      <c r="J1087" s="3"/>
    </row>
    <row r="1090" spans="1:17" ht="23.25">
      <c r="A1090" s="1802" t="s">
        <v>201</v>
      </c>
      <c r="B1090" s="1803"/>
      <c r="C1090" s="1803"/>
      <c r="D1090" s="1803"/>
      <c r="E1090" s="1803"/>
      <c r="F1090" s="1803"/>
      <c r="G1090" s="1803"/>
      <c r="H1090" s="1803"/>
      <c r="I1090" s="1803"/>
      <c r="J1090" s="1803"/>
      <c r="K1090" s="1803"/>
      <c r="L1090" s="1803"/>
      <c r="M1090" s="1803"/>
      <c r="N1090" s="1803"/>
      <c r="O1090" s="1803"/>
      <c r="P1090" s="1803"/>
      <c r="Q1090" s="1804"/>
    </row>
    <row r="1091" spans="1:17">
      <c r="A1091" s="1899" t="s">
        <v>2032</v>
      </c>
      <c r="B1091" s="1900"/>
      <c r="C1091" s="1900"/>
      <c r="D1091" s="1900"/>
      <c r="E1091" s="1900"/>
      <c r="F1091" s="1900"/>
    </row>
    <row r="1092" spans="1:17">
      <c r="A1092" s="5" t="s">
        <v>2033</v>
      </c>
    </row>
    <row r="1093" spans="1:17">
      <c r="A1093" t="s">
        <v>2034</v>
      </c>
    </row>
    <row r="1094" spans="1:17">
      <c r="A1094" t="s">
        <v>2035</v>
      </c>
    </row>
    <row r="1095" spans="1:17">
      <c r="A1095" t="s">
        <v>2036</v>
      </c>
    </row>
    <row r="1096" spans="1:17">
      <c r="A1096" t="s">
        <v>2037</v>
      </c>
    </row>
    <row r="1097" spans="1:17">
      <c r="A1097" t="s">
        <v>2038</v>
      </c>
    </row>
    <row r="1098" spans="1:17">
      <c r="A1098" t="s">
        <v>2039</v>
      </c>
    </row>
    <row r="1100" spans="1:17">
      <c r="A1100" s="5" t="s">
        <v>2040</v>
      </c>
    </row>
    <row r="1101" spans="1:17">
      <c r="A1101" t="s">
        <v>2041</v>
      </c>
    </row>
    <row r="1102" spans="1:17">
      <c r="A1102" t="s">
        <v>2042</v>
      </c>
    </row>
    <row r="1103" spans="1:17">
      <c r="A1103" t="s">
        <v>2043</v>
      </c>
    </row>
    <row r="1105" spans="1:29">
      <c r="A1105" t="s">
        <v>2044</v>
      </c>
    </row>
    <row r="1106" spans="1:29">
      <c r="A1106" s="10"/>
    </row>
    <row r="1109" spans="1:29">
      <c r="A1109" s="5" t="s">
        <v>2045</v>
      </c>
    </row>
    <row r="1110" spans="1:29">
      <c r="A1110" s="10" t="s">
        <v>2046</v>
      </c>
    </row>
    <row r="1111" spans="1:29">
      <c r="R1111" s="5"/>
      <c r="S1111" s="5"/>
      <c r="T1111" s="5"/>
      <c r="U1111" s="5"/>
      <c r="V1111" s="1287"/>
      <c r="W1111" s="1287"/>
      <c r="X1111" s="5"/>
      <c r="Y1111" s="5"/>
    </row>
    <row r="1112" spans="1:29" ht="23.25">
      <c r="A1112" s="1901" t="s">
        <v>1261</v>
      </c>
      <c r="B1112" s="1901"/>
      <c r="C1112" s="1901"/>
      <c r="D1112" s="1901"/>
      <c r="E1112" s="1901"/>
      <c r="F1112" s="1901"/>
      <c r="G1112" s="1901"/>
      <c r="H1112" s="1901"/>
      <c r="I1112" s="1901"/>
      <c r="J1112" s="1901"/>
      <c r="K1112" s="1901"/>
      <c r="L1112" s="1901"/>
      <c r="M1112" s="1901"/>
      <c r="N1112" s="5"/>
      <c r="O1112" s="5"/>
      <c r="P1112" s="5"/>
      <c r="Q1112" s="5"/>
      <c r="R1112" s="1902" t="s">
        <v>1272</v>
      </c>
      <c r="S1112" s="1903"/>
      <c r="T1112" s="1904"/>
    </row>
    <row r="1113" spans="1:29" ht="30">
      <c r="A1113" s="69" t="s">
        <v>1262</v>
      </c>
      <c r="B1113" s="69" t="s">
        <v>1263</v>
      </c>
      <c r="C1113" s="69" t="s">
        <v>1264</v>
      </c>
      <c r="D1113" s="69" t="s">
        <v>1253</v>
      </c>
      <c r="E1113" s="69" t="s">
        <v>1254</v>
      </c>
      <c r="F1113" s="69" t="s">
        <v>1265</v>
      </c>
      <c r="G1113" s="69" t="s">
        <v>1266</v>
      </c>
      <c r="H1113" s="69" t="s">
        <v>1257</v>
      </c>
      <c r="I1113" s="69" t="s">
        <v>1267</v>
      </c>
      <c r="J1113" s="69" t="s">
        <v>1268</v>
      </c>
      <c r="K1113" s="70" t="s">
        <v>1269</v>
      </c>
      <c r="L1113" s="71" t="s">
        <v>1270</v>
      </c>
      <c r="M1113" s="69" t="s">
        <v>1271</v>
      </c>
      <c r="R1113" s="1905"/>
      <c r="S1113" s="1906"/>
      <c r="T1113" s="83" t="s">
        <v>1274</v>
      </c>
    </row>
    <row r="1114" spans="1:29">
      <c r="A1114" s="37" t="s">
        <v>1273</v>
      </c>
      <c r="B1114" s="72">
        <v>0</v>
      </c>
      <c r="C1114" s="73">
        <v>1</v>
      </c>
      <c r="D1114" s="74">
        <v>1</v>
      </c>
      <c r="E1114" s="75">
        <v>0.5</v>
      </c>
      <c r="F1114" s="76">
        <v>0.5</v>
      </c>
      <c r="G1114" s="77">
        <f>B1114*C1114</f>
        <v>0</v>
      </c>
      <c r="H1114" s="78">
        <f>G1114*0.25</f>
        <v>0</v>
      </c>
      <c r="I1114" s="79">
        <f>H1114*3.67</f>
        <v>0</v>
      </c>
      <c r="J1114" s="79">
        <f>I1114*0.907</f>
        <v>0</v>
      </c>
      <c r="K1114" s="80"/>
      <c r="L1114" s="81" t="e">
        <f>(VLOOKUP(E1114,$A$182:$C$184, 2, TRUE)-1)</f>
        <v>#N/A</v>
      </c>
      <c r="M1114" s="82" t="e">
        <f>(VLOOKUP(E1114,#REF!, 2,TRUE))*J1114*D1114</f>
        <v>#REF!</v>
      </c>
      <c r="R1114" s="1894"/>
      <c r="S1114" s="1895"/>
      <c r="T1114" s="83" t="s">
        <v>1276</v>
      </c>
    </row>
    <row r="1115" spans="1:29">
      <c r="A1115" s="37" t="s">
        <v>1275</v>
      </c>
      <c r="B1115" s="72">
        <v>14000</v>
      </c>
      <c r="C1115" s="73">
        <v>2</v>
      </c>
      <c r="D1115" s="74">
        <v>1</v>
      </c>
      <c r="E1115" s="75">
        <v>0.5</v>
      </c>
      <c r="F1115" s="76">
        <v>0.5</v>
      </c>
      <c r="G1115" s="77">
        <f>B1115*C1115</f>
        <v>28000</v>
      </c>
      <c r="H1115" s="78">
        <f>G1115*0.25</f>
        <v>7000</v>
      </c>
      <c r="I1115" s="79">
        <f>H1115*3.67</f>
        <v>25690</v>
      </c>
      <c r="J1115" s="79">
        <f t="shared" ref="J1115:J1118" si="4">I1115*0.907</f>
        <v>23300.83</v>
      </c>
      <c r="K1115" s="80"/>
      <c r="L1115" s="81" t="e">
        <f>(VLOOKUP(E1115,#REF!, 2, TRUE)-1)</f>
        <v>#REF!</v>
      </c>
      <c r="M1115" s="82" t="e">
        <f>(VLOOKUP(E1115,#REF!, 2,TRUE))*J1115*D1115</f>
        <v>#REF!</v>
      </c>
      <c r="O1115" s="84">
        <f>G1115*37.5</f>
        <v>1050000</v>
      </c>
    </row>
    <row r="1116" spans="1:29">
      <c r="A1116" s="37" t="s">
        <v>1277</v>
      </c>
      <c r="B1116" s="72">
        <v>0</v>
      </c>
      <c r="C1116" s="73">
        <v>3.5</v>
      </c>
      <c r="D1116" s="74">
        <v>1</v>
      </c>
      <c r="E1116" s="75">
        <v>0.5</v>
      </c>
      <c r="F1116" s="76">
        <v>0.5</v>
      </c>
      <c r="G1116" s="77">
        <f>B1116*C1116</f>
        <v>0</v>
      </c>
      <c r="H1116" s="78">
        <f>G1116*0.25</f>
        <v>0</v>
      </c>
      <c r="I1116" s="79">
        <f>H1116*3.67</f>
        <v>0</v>
      </c>
      <c r="J1116" s="79">
        <f t="shared" si="4"/>
        <v>0</v>
      </c>
      <c r="K1116" s="80"/>
      <c r="L1116" s="81" t="e">
        <f>(VLOOKUP(E1116,#REF!, 2, TRUE)-1)</f>
        <v>#REF!</v>
      </c>
      <c r="M1116" s="82" t="e">
        <f>(VLOOKUP(E1116,#REF!, 2,TRUE))*J1116*D1116</f>
        <v>#REF!</v>
      </c>
      <c r="O1116" s="84">
        <f t="shared" ref="O1116" si="5">G1116*26*2</f>
        <v>0</v>
      </c>
      <c r="R1116" s="1896" t="s">
        <v>1279</v>
      </c>
      <c r="S1116" s="1897"/>
      <c r="T1116" s="1898"/>
    </row>
    <row r="1117" spans="1:29">
      <c r="A1117" s="37" t="s">
        <v>1278</v>
      </c>
      <c r="B1117" s="72">
        <v>8000</v>
      </c>
      <c r="C1117" s="73">
        <v>5</v>
      </c>
      <c r="D1117" s="74">
        <v>1</v>
      </c>
      <c r="E1117" s="75">
        <v>0.5</v>
      </c>
      <c r="F1117" s="76">
        <v>0.5</v>
      </c>
      <c r="G1117" s="77">
        <f>B1117*C1117</f>
        <v>40000</v>
      </c>
      <c r="H1117" s="78">
        <f>G1117*0.25</f>
        <v>10000</v>
      </c>
      <c r="I1117" s="79">
        <f>H1117*3.67</f>
        <v>36700</v>
      </c>
      <c r="J1117" s="79">
        <f t="shared" si="4"/>
        <v>33286.9</v>
      </c>
      <c r="K1117" s="80"/>
      <c r="L1117" s="81" t="e">
        <f>(VLOOKUP(E1117,#REF!, 2, TRUE)-1)</f>
        <v>#REF!</v>
      </c>
      <c r="M1117" s="82" t="e">
        <f>(VLOOKUP(E1117,#REF!, 2,TRUE))*J1117*D1117</f>
        <v>#REF!</v>
      </c>
      <c r="O1117" s="84">
        <f>G1117*26*5</f>
        <v>5200000</v>
      </c>
      <c r="R1117" s="83" t="s">
        <v>1281</v>
      </c>
      <c r="S1117" s="83">
        <v>0</v>
      </c>
      <c r="T1117" s="83">
        <v>1</v>
      </c>
      <c r="U1117" t="s">
        <v>1282</v>
      </c>
    </row>
    <row r="1118" spans="1:29">
      <c r="A1118" s="37" t="s">
        <v>1280</v>
      </c>
      <c r="B1118" s="72">
        <v>0</v>
      </c>
      <c r="C1118" s="73">
        <v>10</v>
      </c>
      <c r="D1118" s="74">
        <v>1</v>
      </c>
      <c r="E1118" s="75">
        <v>0.5</v>
      </c>
      <c r="F1118" s="76">
        <v>0.5</v>
      </c>
      <c r="G1118" s="77">
        <f>B1118*C1118</f>
        <v>0</v>
      </c>
      <c r="H1118" s="78">
        <f>G1118*0.25</f>
        <v>0</v>
      </c>
      <c r="I1118" s="79">
        <f>H1118*3.67</f>
        <v>0</v>
      </c>
      <c r="J1118" s="79">
        <f t="shared" si="4"/>
        <v>0</v>
      </c>
      <c r="K1118" s="80"/>
      <c r="L1118" s="81" t="e">
        <f>(VLOOKUP(E1118,#REF!, 2, TRUE)-1)</f>
        <v>#REF!</v>
      </c>
      <c r="M1118" s="82" t="e">
        <f>(VLOOKUP(E1118,#REF!, 2,TRUE))*J1118*D1118</f>
        <v>#REF!</v>
      </c>
      <c r="R1118" s="83" t="s">
        <v>1284</v>
      </c>
      <c r="S1118" s="83">
        <v>0.5</v>
      </c>
      <c r="T1118" s="83">
        <v>0.75</v>
      </c>
      <c r="U1118" t="s">
        <v>1285</v>
      </c>
    </row>
    <row r="1119" spans="1:29">
      <c r="A1119" s="85"/>
      <c r="B1119" s="85"/>
      <c r="C1119" s="85"/>
      <c r="D1119" s="85"/>
      <c r="E1119" s="85"/>
      <c r="F1119" s="85"/>
      <c r="G1119" s="85"/>
      <c r="H1119" s="85"/>
      <c r="I1119" s="86"/>
      <c r="J1119" s="86"/>
      <c r="K1119" s="86"/>
      <c r="L1119" s="87"/>
      <c r="M1119" s="88" t="e">
        <f>SUM(M1114:M1118)</f>
        <v>#REF!</v>
      </c>
      <c r="N1119" s="46" t="s">
        <v>1283</v>
      </c>
      <c r="R1119" s="83" t="s">
        <v>1286</v>
      </c>
      <c r="S1119" s="83">
        <v>1</v>
      </c>
      <c r="T1119" s="83">
        <v>0.5</v>
      </c>
      <c r="U1119" t="s">
        <v>1287</v>
      </c>
    </row>
    <row r="1120" spans="1:29" s="22" customFormat="1" ht="15.75">
      <c r="A1120"/>
      <c r="B1120"/>
      <c r="C1120"/>
      <c r="D1120"/>
      <c r="E1120"/>
      <c r="F1120"/>
      <c r="G1120"/>
      <c r="H1120"/>
      <c r="I1120" s="84"/>
      <c r="J1120" s="84"/>
      <c r="K1120" s="84"/>
      <c r="L1120" s="84"/>
      <c r="M1120" s="84"/>
      <c r="N1120"/>
      <c r="O1120"/>
      <c r="P1120"/>
      <c r="Q1120"/>
      <c r="V1120" s="1284"/>
      <c r="W1120" s="1284"/>
      <c r="Z1120"/>
      <c r="AA1120"/>
      <c r="AB1120"/>
      <c r="AC1120"/>
    </row>
    <row r="1121" spans="1:29" s="22" customFormat="1" ht="32.25" thickBot="1">
      <c r="A1121" s="1933" t="s">
        <v>109</v>
      </c>
      <c r="B1121" s="1934"/>
      <c r="C1121" s="1934"/>
      <c r="D1121" s="1934"/>
      <c r="E1121" s="1934"/>
      <c r="F1121" s="1934"/>
      <c r="G1121" s="1934"/>
      <c r="H1121" s="1934"/>
      <c r="I1121" s="1934"/>
      <c r="J1121" s="1934"/>
      <c r="K1121" s="1934"/>
      <c r="L1121" s="1934"/>
      <c r="M1121" s="1934"/>
      <c r="N1121" s="1934"/>
      <c r="O1121" s="1934"/>
      <c r="P1121" s="1934"/>
      <c r="Q1121" s="1935"/>
      <c r="V1121" s="1284"/>
      <c r="W1121" s="1284"/>
      <c r="Z1121"/>
      <c r="AA1121"/>
      <c r="AB1121"/>
      <c r="AC1121"/>
    </row>
    <row r="1122" spans="1:29" s="22" customFormat="1" ht="16.5" thickBot="1">
      <c r="A1122" s="431" t="s">
        <v>2047</v>
      </c>
      <c r="B1122" s="432" t="s">
        <v>2106</v>
      </c>
      <c r="C1122" s="433" t="s">
        <v>2049</v>
      </c>
      <c r="H1122" s="264"/>
      <c r="V1122" s="1284"/>
      <c r="W1122" s="1284"/>
      <c r="Z1122"/>
      <c r="AA1122"/>
      <c r="AB1122"/>
      <c r="AC1122"/>
    </row>
    <row r="1123" spans="1:29" s="22" customFormat="1" ht="15.75">
      <c r="A1123" s="434" t="s">
        <v>2050</v>
      </c>
      <c r="B1123" s="435" t="s">
        <v>2367</v>
      </c>
      <c r="C1123" s="436">
        <v>1.2403E-3</v>
      </c>
      <c r="H1123" s="264"/>
      <c r="V1123" s="1284"/>
      <c r="W1123" s="1284"/>
      <c r="Z1123"/>
      <c r="AA1123"/>
      <c r="AB1123"/>
      <c r="AC1123"/>
    </row>
    <row r="1124" spans="1:29" s="22" customFormat="1" ht="15.75">
      <c r="A1124" s="437" t="s">
        <v>2052</v>
      </c>
      <c r="B1124" s="438"/>
      <c r="C1124" s="439"/>
      <c r="H1124" s="264"/>
      <c r="V1124" s="1284"/>
      <c r="W1124" s="1284"/>
      <c r="Z1124"/>
      <c r="AA1124"/>
      <c r="AB1124"/>
      <c r="AC1124"/>
    </row>
    <row r="1125" spans="1:29" s="22" customFormat="1" ht="16.5" thickBot="1">
      <c r="A1125" s="437"/>
      <c r="B1125" s="438"/>
      <c r="C1125" s="439"/>
      <c r="H1125" s="264"/>
      <c r="V1125" s="1284"/>
      <c r="W1125" s="1284"/>
      <c r="Z1125"/>
      <c r="AA1125"/>
      <c r="AB1125"/>
      <c r="AC1125"/>
    </row>
    <row r="1126" spans="1:29" s="22" customFormat="1" ht="21.75" thickBot="1">
      <c r="A1126" s="1936" t="s">
        <v>827</v>
      </c>
      <c r="B1126" s="1937"/>
      <c r="H1126" s="264"/>
      <c r="V1126" s="1284"/>
      <c r="W1126" s="1284"/>
      <c r="Z1126"/>
      <c r="AA1126"/>
      <c r="AB1126"/>
      <c r="AC1126"/>
    </row>
    <row r="1127" spans="1:29" s="22" customFormat="1" ht="15.75">
      <c r="A1127" s="440" t="s">
        <v>2368</v>
      </c>
      <c r="B1127" s="637" t="s">
        <v>2054</v>
      </c>
      <c r="C1127" s="638" t="s">
        <v>2055</v>
      </c>
      <c r="H1127" s="264"/>
      <c r="V1127" s="1284"/>
      <c r="W1127" s="1284"/>
      <c r="Z1127"/>
      <c r="AA1127"/>
      <c r="AB1127"/>
      <c r="AC1127"/>
    </row>
    <row r="1128" spans="1:29" s="22" customFormat="1" ht="30">
      <c r="A1128" s="441" t="s">
        <v>2369</v>
      </c>
      <c r="B1128" s="635">
        <v>24.503</v>
      </c>
      <c r="C1128" s="634" t="s">
        <v>2057</v>
      </c>
      <c r="F1128" s="1381" t="s">
        <v>2370</v>
      </c>
      <c r="H1128" s="264"/>
      <c r="V1128" s="1284"/>
      <c r="W1128" s="1284"/>
      <c r="Z1128"/>
      <c r="AA1128"/>
      <c r="AB1128"/>
      <c r="AC1128"/>
    </row>
    <row r="1129" spans="1:29" s="22" customFormat="1" ht="45">
      <c r="A1129" s="441" t="s">
        <v>2059</v>
      </c>
      <c r="B1129" s="636">
        <v>23.561</v>
      </c>
      <c r="C1129" s="639" t="s">
        <v>2057</v>
      </c>
      <c r="D1129" s="444" t="s">
        <v>2060</v>
      </c>
      <c r="H1129" s="264"/>
      <c r="V1129" s="1284"/>
      <c r="W1129" s="1284"/>
      <c r="Z1129"/>
      <c r="AA1129"/>
      <c r="AB1129"/>
      <c r="AC1129"/>
    </row>
    <row r="1130" spans="1:29" s="22" customFormat="1" ht="15.75">
      <c r="A1130" s="441" t="s">
        <v>2061</v>
      </c>
      <c r="B1130" s="636">
        <v>4.496E-2</v>
      </c>
      <c r="C1130" s="640" t="s">
        <v>2049</v>
      </c>
      <c r="H1130" s="264"/>
      <c r="V1130" s="1284"/>
      <c r="W1130" s="1284"/>
    </row>
    <row r="1131" spans="1:29" s="22" customFormat="1" ht="30.75" thickBot="1">
      <c r="A1131" s="445" t="s">
        <v>2062</v>
      </c>
      <c r="B1131" s="641">
        <v>2.7720000000000002E-2</v>
      </c>
      <c r="C1131" s="642" t="s">
        <v>2063</v>
      </c>
      <c r="H1131" s="264"/>
      <c r="V1131" s="1284"/>
      <c r="W1131" s="1284"/>
    </row>
    <row r="1132" spans="1:29" s="22" customFormat="1" ht="15.75">
      <c r="A1132" s="443"/>
      <c r="B1132" s="209"/>
      <c r="C1132" s="443"/>
      <c r="H1132" s="264"/>
      <c r="V1132" s="1284"/>
      <c r="W1132" s="1284"/>
    </row>
    <row r="1133" spans="1:29" s="22" customFormat="1" ht="15.75">
      <c r="A1133" s="446" t="s">
        <v>2064</v>
      </c>
      <c r="B1133" s="209"/>
      <c r="C1133" s="443"/>
      <c r="H1133" s="264"/>
      <c r="K1133" s="1189"/>
      <c r="V1133" s="1284"/>
      <c r="W1133" s="1284"/>
    </row>
    <row r="1134" spans="1:29" s="22" customFormat="1" ht="15.75">
      <c r="A1134" s="447"/>
      <c r="B1134" s="448"/>
      <c r="C1134" s="447"/>
      <c r="D1134" s="261"/>
      <c r="E1134" s="261"/>
      <c r="F1134" s="261"/>
      <c r="G1134" s="261"/>
      <c r="H1134" s="262"/>
      <c r="I1134" s="261"/>
      <c r="J1134" s="261"/>
      <c r="K1134" s="1189"/>
      <c r="V1134" s="1284"/>
      <c r="W1134" s="1284"/>
    </row>
    <row r="1135" spans="1:29" s="22" customFormat="1" ht="15.75">
      <c r="A1135" s="447"/>
      <c r="B1135" s="448"/>
      <c r="C1135" s="447"/>
      <c r="D1135" s="261"/>
      <c r="E1135" s="261"/>
      <c r="F1135" s="261"/>
      <c r="G1135" s="261"/>
      <c r="H1135" s="262"/>
      <c r="I1135" s="261"/>
      <c r="J1135" s="261"/>
      <c r="K1135" s="1189"/>
      <c r="V1135" s="1284"/>
      <c r="W1135" s="1284"/>
    </row>
    <row r="1136" spans="1:29" s="22" customFormat="1" ht="15.75">
      <c r="A1136" s="447"/>
      <c r="B1136" s="448"/>
      <c r="C1136" s="447"/>
      <c r="D1136" s="261"/>
      <c r="E1136" s="261"/>
      <c r="F1136" s="261"/>
      <c r="G1136" s="261"/>
      <c r="H1136" s="262"/>
      <c r="I1136" s="261"/>
      <c r="J1136" s="261"/>
      <c r="K1136" s="1189"/>
      <c r="V1136" s="1284"/>
      <c r="W1136" s="1284"/>
    </row>
    <row r="1137" spans="1:29" s="22" customFormat="1" ht="15.75">
      <c r="A1137" s="447"/>
      <c r="B1137" s="448"/>
      <c r="C1137" s="447"/>
      <c r="D1137" s="261"/>
      <c r="E1137" s="261"/>
      <c r="F1137" s="261"/>
      <c r="G1137" s="261"/>
      <c r="H1137" s="262"/>
      <c r="I1137" s="261"/>
      <c r="J1137" s="261"/>
      <c r="K1137" s="1189"/>
      <c r="V1137" s="1284"/>
      <c r="W1137" s="1284"/>
    </row>
    <row r="1138" spans="1:29" s="22" customFormat="1" ht="15.75">
      <c r="A1138" s="447"/>
      <c r="B1138" s="448"/>
      <c r="C1138" s="447"/>
      <c r="D1138" s="261"/>
      <c r="E1138" s="261"/>
      <c r="F1138" s="261"/>
      <c r="G1138" s="261"/>
      <c r="H1138" s="262"/>
      <c r="I1138" s="261"/>
      <c r="J1138" s="261"/>
      <c r="K1138" s="1189"/>
      <c r="V1138" s="1284"/>
      <c r="W1138" s="1284"/>
    </row>
    <row r="1139" spans="1:29" s="22" customFormat="1" ht="15.75">
      <c r="A1139" s="447"/>
      <c r="B1139" s="448"/>
      <c r="C1139" s="447"/>
      <c r="D1139" s="261"/>
      <c r="E1139" s="261"/>
      <c r="F1139" s="261"/>
      <c r="G1139" s="261"/>
      <c r="H1139" s="262"/>
      <c r="I1139" s="261"/>
      <c r="J1139" s="261"/>
      <c r="K1139" s="1189"/>
      <c r="V1139" s="1284"/>
      <c r="W1139" s="1284"/>
    </row>
    <row r="1140" spans="1:29" s="22" customFormat="1" ht="15.75">
      <c r="A1140" s="447"/>
      <c r="B1140" s="448"/>
      <c r="C1140" s="447"/>
      <c r="D1140" s="261"/>
      <c r="E1140" s="261"/>
      <c r="F1140" s="261"/>
      <c r="G1140" s="261"/>
      <c r="H1140" s="262"/>
      <c r="I1140" s="261"/>
      <c r="J1140" s="261"/>
      <c r="K1140" s="1189"/>
      <c r="V1140" s="1284"/>
      <c r="W1140" s="1284"/>
    </row>
    <row r="1141" spans="1:29" s="22" customFormat="1" ht="15.75">
      <c r="A1141" s="447"/>
      <c r="B1141" s="448"/>
      <c r="C1141" s="447"/>
      <c r="D1141" s="261"/>
      <c r="E1141" s="261"/>
      <c r="F1141" s="261"/>
      <c r="G1141" s="261"/>
      <c r="H1141" s="262"/>
      <c r="I1141" s="261"/>
      <c r="J1141" s="261"/>
      <c r="K1141" s="1189"/>
      <c r="V1141" s="1284"/>
      <c r="W1141" s="1284"/>
    </row>
    <row r="1142" spans="1:29" s="22" customFormat="1" ht="15.75">
      <c r="A1142" s="447"/>
      <c r="B1142" s="448"/>
      <c r="C1142" s="447"/>
      <c r="D1142" s="261"/>
      <c r="E1142" s="261"/>
      <c r="F1142" s="261"/>
      <c r="G1142" s="261"/>
      <c r="H1142" s="262"/>
      <c r="I1142" s="261"/>
      <c r="J1142" s="261"/>
      <c r="K1142" s="1189"/>
      <c r="V1142" s="1284"/>
      <c r="W1142" s="1284"/>
    </row>
    <row r="1143" spans="1:29" s="22" customFormat="1" ht="15.75">
      <c r="A1143" s="447"/>
      <c r="B1143" s="448"/>
      <c r="C1143" s="447"/>
      <c r="D1143" s="261"/>
      <c r="E1143" s="261"/>
      <c r="F1143" s="261"/>
      <c r="G1143" s="261"/>
      <c r="H1143" s="262"/>
      <c r="I1143" s="261"/>
      <c r="J1143" s="261"/>
      <c r="K1143" s="1189"/>
      <c r="V1143" s="1284"/>
      <c r="W1143" s="1284"/>
    </row>
    <row r="1144" spans="1:29" s="22" customFormat="1" ht="15.75">
      <c r="A1144" s="447"/>
      <c r="B1144" s="448"/>
      <c r="C1144" s="447"/>
      <c r="D1144" s="261"/>
      <c r="E1144" s="261"/>
      <c r="F1144" s="261"/>
      <c r="G1144" s="261"/>
      <c r="H1144" s="262"/>
      <c r="I1144" s="261"/>
      <c r="J1144" s="261"/>
      <c r="K1144" s="1189"/>
      <c r="V1144" s="1284"/>
      <c r="W1144" s="1284"/>
    </row>
    <row r="1145" spans="1:29" s="22" customFormat="1" ht="15.75">
      <c r="A1145" s="447"/>
      <c r="B1145" s="448"/>
      <c r="C1145" s="447"/>
      <c r="D1145" s="261"/>
      <c r="E1145" s="261"/>
      <c r="F1145" s="261"/>
      <c r="G1145" s="261"/>
      <c r="H1145" s="262"/>
      <c r="I1145" s="261"/>
      <c r="J1145" s="261"/>
      <c r="K1145" s="1189"/>
      <c r="V1145" s="1284"/>
      <c r="W1145" s="1284"/>
    </row>
    <row r="1146" spans="1:29" s="22" customFormat="1" ht="15.75">
      <c r="A1146" s="447"/>
      <c r="B1146" s="448"/>
      <c r="C1146" s="447"/>
      <c r="D1146" s="261"/>
      <c r="E1146" s="261"/>
      <c r="F1146" s="261"/>
      <c r="G1146" s="261"/>
      <c r="H1146" s="262"/>
      <c r="I1146" s="261"/>
      <c r="J1146" s="261"/>
      <c r="K1146" s="1189"/>
      <c r="V1146" s="1284"/>
      <c r="W1146" s="1284"/>
    </row>
    <row r="1147" spans="1:29" s="22" customFormat="1" ht="15.75">
      <c r="A1147" s="447"/>
      <c r="B1147" s="448"/>
      <c r="C1147" s="447"/>
      <c r="D1147" s="261"/>
      <c r="E1147" s="261"/>
      <c r="F1147" s="261"/>
      <c r="G1147" s="261"/>
      <c r="H1147" s="262"/>
      <c r="I1147" s="261"/>
      <c r="J1147" s="261"/>
      <c r="K1147" s="1189"/>
      <c r="V1147" s="1284"/>
      <c r="W1147" s="1284"/>
    </row>
    <row r="1148" spans="1:29" s="22" customFormat="1" ht="15.75">
      <c r="A1148" s="447"/>
      <c r="B1148" s="448"/>
      <c r="C1148" s="447"/>
      <c r="D1148" s="261"/>
      <c r="E1148" s="261"/>
      <c r="F1148" s="261"/>
      <c r="G1148" s="261"/>
      <c r="H1148" s="262"/>
      <c r="I1148" s="261"/>
      <c r="J1148" s="261"/>
      <c r="K1148" s="1189"/>
      <c r="V1148" s="1284"/>
      <c r="W1148" s="1284"/>
    </row>
    <row r="1149" spans="1:29" s="22" customFormat="1" ht="15.75">
      <c r="A1149" s="1801" t="s">
        <v>2371</v>
      </c>
      <c r="B1149" s="1801"/>
      <c r="C1149" s="1801"/>
      <c r="D1149" s="1801"/>
      <c r="E1149" s="1801"/>
      <c r="F1149" s="1801"/>
      <c r="G1149" s="1801"/>
      <c r="H1149" s="1801"/>
      <c r="I1149" s="1801"/>
      <c r="J1149" s="1801"/>
      <c r="V1149" s="1284"/>
      <c r="W1149" s="1284"/>
    </row>
    <row r="1150" spans="1:29" s="22" customFormat="1" ht="16.5" thickBot="1">
      <c r="D1150" s="261"/>
      <c r="H1150" s="264"/>
      <c r="V1150" s="1284"/>
      <c r="W1150" s="1284"/>
    </row>
    <row r="1151" spans="1:29" ht="21.75" thickBot="1">
      <c r="A1151" s="1830" t="s">
        <v>2065</v>
      </c>
      <c r="B1151" s="1832"/>
      <c r="C1151" s="22"/>
      <c r="D1151" s="22"/>
      <c r="E1151" s="22"/>
      <c r="F1151" s="22"/>
      <c r="G1151" s="22"/>
      <c r="H1151" s="264"/>
      <c r="I1151" s="22"/>
      <c r="J1151" s="22"/>
      <c r="K1151" s="22"/>
      <c r="L1151" s="22"/>
      <c r="M1151" s="22"/>
      <c r="N1151" s="22"/>
      <c r="O1151" s="22"/>
      <c r="P1151" s="22"/>
      <c r="Q1151" s="22"/>
      <c r="Z1151" s="22"/>
      <c r="AA1151" s="22"/>
      <c r="AB1151" s="22"/>
      <c r="AC1151" s="22"/>
    </row>
    <row r="1152" spans="1:29" s="22" customFormat="1" ht="16.5" thickBot="1">
      <c r="A1152"/>
      <c r="B1152"/>
      <c r="C1152"/>
      <c r="D1152"/>
      <c r="E1152"/>
      <c r="F1152"/>
      <c r="G1152"/>
      <c r="H1152"/>
      <c r="I1152"/>
      <c r="J1152"/>
      <c r="K1152"/>
      <c r="L1152"/>
      <c r="M1152"/>
      <c r="N1152"/>
      <c r="O1152"/>
      <c r="P1152"/>
      <c r="Q1152"/>
      <c r="V1152" s="1284"/>
      <c r="W1152" s="1284"/>
    </row>
    <row r="1153" spans="1:29" s="22" customFormat="1" ht="15.75">
      <c r="A1153" s="449" t="s">
        <v>2066</v>
      </c>
      <c r="B1153" s="432" t="s">
        <v>2372</v>
      </c>
      <c r="C1153" s="450" t="s">
        <v>2068</v>
      </c>
      <c r="H1153" s="264"/>
      <c r="V1153" s="1284"/>
      <c r="W1153" s="1284"/>
    </row>
    <row r="1154" spans="1:29" s="22" customFormat="1" ht="15.75">
      <c r="A1154" s="451" t="s">
        <v>870</v>
      </c>
      <c r="B1154" s="1250" t="s">
        <v>2373</v>
      </c>
      <c r="C1154" s="452">
        <v>7.1032999999999999</v>
      </c>
      <c r="E1154" s="22" t="s">
        <v>2070</v>
      </c>
      <c r="H1154" s="264"/>
      <c r="V1154" s="1284"/>
      <c r="W1154" s="1284"/>
    </row>
    <row r="1155" spans="1:29" s="22" customFormat="1" ht="15.75">
      <c r="A1155" s="451" t="s">
        <v>865</v>
      </c>
      <c r="B1155" s="1250" t="s">
        <v>2374</v>
      </c>
      <c r="C1155" s="453">
        <v>0.15673000000000001</v>
      </c>
      <c r="H1155" s="264"/>
      <c r="V1155" s="1284"/>
      <c r="W1155" s="1284"/>
    </row>
    <row r="1156" spans="1:29" s="22" customFormat="1" ht="15.75">
      <c r="A1156" s="451" t="s">
        <v>867</v>
      </c>
      <c r="B1156" s="1250" t="s">
        <v>2375</v>
      </c>
      <c r="C1156" s="453">
        <v>6.0922999999999998</v>
      </c>
      <c r="H1156" s="264"/>
      <c r="V1156" s="1284"/>
      <c r="W1156" s="1284"/>
    </row>
    <row r="1157" spans="1:29" s="22" customFormat="1" ht="16.5">
      <c r="A1157" s="451" t="s">
        <v>872</v>
      </c>
      <c r="B1157" s="1250" t="s">
        <v>2376</v>
      </c>
      <c r="C1157" s="454">
        <v>4.6738</v>
      </c>
      <c r="E1157" s="1381" t="s">
        <v>2377</v>
      </c>
      <c r="H1157" s="264"/>
      <c r="V1157" s="1284"/>
      <c r="W1157" s="1284"/>
    </row>
    <row r="1158" spans="1:29" s="22" customFormat="1" ht="16.5">
      <c r="A1158" s="451" t="s">
        <v>873</v>
      </c>
      <c r="B1158" s="1250" t="s">
        <v>2378</v>
      </c>
      <c r="C1158" s="454">
        <v>9.0297999999999998</v>
      </c>
      <c r="E1158" s="1381"/>
      <c r="H1158" s="264"/>
      <c r="V1158" s="1284"/>
      <c r="W1158" s="1284"/>
    </row>
    <row r="1159" spans="1:29" s="22" customFormat="1" ht="16.5">
      <c r="A1159" s="455" t="s">
        <v>874</v>
      </c>
      <c r="B1159" s="1250" t="s">
        <v>2379</v>
      </c>
      <c r="C1159" s="454">
        <v>1.9916</v>
      </c>
      <c r="E1159" s="1381"/>
      <c r="H1159" s="264"/>
      <c r="V1159" s="1284"/>
      <c r="W1159" s="1284"/>
    </row>
    <row r="1160" spans="1:29" s="22" customFormat="1" ht="15.75">
      <c r="A1160" s="451" t="s">
        <v>875</v>
      </c>
      <c r="B1160" s="1250" t="s">
        <v>2380</v>
      </c>
      <c r="C1160" s="453">
        <v>1.4106000000000001</v>
      </c>
      <c r="H1160" s="264"/>
      <c r="V1160" s="1284"/>
      <c r="W1160" s="1284"/>
    </row>
    <row r="1161" spans="1:29" s="22" customFormat="1" ht="16.5">
      <c r="A1161" s="451" t="s">
        <v>877</v>
      </c>
      <c r="B1161" s="1250" t="s">
        <v>2381</v>
      </c>
      <c r="C1161" s="454">
        <v>11.896000000000001</v>
      </c>
      <c r="H1161" s="264"/>
      <c r="V1161" s="1284"/>
      <c r="W1161" s="1284"/>
      <c r="Z1161"/>
      <c r="AA1161"/>
      <c r="AB1161"/>
      <c r="AC1161"/>
    </row>
    <row r="1162" spans="1:29" s="22" customFormat="1" ht="17.25" thickBot="1">
      <c r="A1162" s="456" t="s">
        <v>2078</v>
      </c>
      <c r="B1162" s="1251" t="s">
        <v>2382</v>
      </c>
      <c r="C1162" s="457">
        <v>10.712</v>
      </c>
      <c r="H1162" s="264"/>
      <c r="V1162" s="1284"/>
      <c r="W1162" s="1284"/>
    </row>
    <row r="1163" spans="1:29" s="22" customFormat="1" ht="16.5" thickBot="1">
      <c r="H1163" s="264"/>
      <c r="V1163" s="1284"/>
      <c r="W1163" s="1284"/>
    </row>
    <row r="1164" spans="1:29" ht="21.75" thickBot="1">
      <c r="A1164" s="1830" t="s">
        <v>826</v>
      </c>
      <c r="B1164" s="1831"/>
      <c r="C1164" s="1831"/>
      <c r="D1164" s="1832"/>
      <c r="E1164" s="22"/>
      <c r="F1164" s="22"/>
      <c r="G1164" s="22"/>
      <c r="H1164" s="1321" t="s">
        <v>63</v>
      </c>
      <c r="I1164" s="22"/>
      <c r="J1164" s="22"/>
      <c r="K1164" s="22"/>
      <c r="L1164" s="22"/>
      <c r="M1164" s="22"/>
      <c r="N1164" s="22"/>
      <c r="O1164" s="22"/>
      <c r="P1164" s="22"/>
      <c r="Q1164" s="22"/>
      <c r="Z1164" s="22"/>
      <c r="AA1164" s="22"/>
      <c r="AB1164" s="22"/>
      <c r="AC1164" s="22"/>
    </row>
    <row r="1165" spans="1:29" s="22" customFormat="1" ht="16.5" thickBot="1">
      <c r="A1165"/>
      <c r="B1165"/>
      <c r="C1165"/>
      <c r="D1165"/>
      <c r="E1165"/>
      <c r="F1165"/>
      <c r="G1165"/>
      <c r="H1165" t="s">
        <v>71</v>
      </c>
      <c r="I1165"/>
      <c r="J1165"/>
      <c r="K1165"/>
      <c r="L1165"/>
      <c r="M1165"/>
      <c r="N1165"/>
      <c r="O1165"/>
      <c r="P1165"/>
      <c r="Q1165"/>
      <c r="V1165" s="1284"/>
      <c r="W1165" s="1284"/>
    </row>
    <row r="1166" spans="1:29" s="22" customFormat="1" ht="15.75">
      <c r="A1166" s="449" t="s">
        <v>923</v>
      </c>
      <c r="B1166" s="432" t="s">
        <v>2383</v>
      </c>
      <c r="C1166" s="449" t="s">
        <v>2081</v>
      </c>
      <c r="G1166" s="264"/>
      <c r="H1166" t="s">
        <v>1408</v>
      </c>
      <c r="V1166" s="1284"/>
      <c r="W1166" s="1284"/>
    </row>
    <row r="1167" spans="1:29" s="22" customFormat="1" ht="15.75">
      <c r="A1167" s="458" t="s">
        <v>2082</v>
      </c>
      <c r="B1167" s="1247" t="s">
        <v>2085</v>
      </c>
      <c r="C1167" s="459">
        <v>7.609</v>
      </c>
      <c r="G1167" s="264"/>
      <c r="H1167" t="s">
        <v>1424</v>
      </c>
      <c r="V1167" s="1284"/>
      <c r="W1167" s="1284"/>
    </row>
    <row r="1168" spans="1:29" s="22" customFormat="1" ht="15.75">
      <c r="A1168" s="458" t="s">
        <v>2084</v>
      </c>
      <c r="B1168" s="1247" t="s">
        <v>2085</v>
      </c>
      <c r="C1168" s="459">
        <v>7.609</v>
      </c>
      <c r="G1168" s="264"/>
      <c r="H1168" t="s">
        <v>1433</v>
      </c>
      <c r="V1168" s="1284"/>
      <c r="W1168" s="1284"/>
    </row>
    <row r="1169" spans="1:29" s="22" customFormat="1" ht="15.75">
      <c r="A1169" s="458" t="s">
        <v>2087</v>
      </c>
      <c r="B1169" s="1247" t="s">
        <v>2088</v>
      </c>
      <c r="C1169" s="459">
        <v>3.03</v>
      </c>
      <c r="G1169" s="264"/>
      <c r="H1169" t="s">
        <v>83</v>
      </c>
      <c r="V1169" s="1284"/>
      <c r="W1169" s="1284"/>
    </row>
    <row r="1170" spans="1:29" s="22" customFormat="1" ht="15.75">
      <c r="A1170" s="458" t="s">
        <v>2091</v>
      </c>
      <c r="B1170" s="1247" t="s">
        <v>2384</v>
      </c>
      <c r="C1170" s="459">
        <v>6.0937999999999999</v>
      </c>
      <c r="G1170" s="264"/>
      <c r="H1170" t="s">
        <v>88</v>
      </c>
      <c r="V1170" s="1284"/>
      <c r="W1170" s="1284"/>
    </row>
    <row r="1171" spans="1:29" s="22" customFormat="1" ht="15.75">
      <c r="A1171" s="458" t="s">
        <v>2385</v>
      </c>
      <c r="B1171" s="1247" t="s">
        <v>2386</v>
      </c>
      <c r="C1171" s="459">
        <v>0.14360000000000001</v>
      </c>
      <c r="G1171" s="264"/>
      <c r="H1171" t="s">
        <v>90</v>
      </c>
      <c r="V1171" s="1284"/>
      <c r="W1171" s="1284"/>
    </row>
    <row r="1172" spans="1:29" s="22" customFormat="1" ht="15.75">
      <c r="A1172" s="460"/>
      <c r="B1172" s="287"/>
      <c r="C1172" s="287"/>
      <c r="D1172" s="287"/>
      <c r="H1172" t="s">
        <v>143</v>
      </c>
      <c r="V1172" s="1284"/>
      <c r="W1172" s="1284"/>
    </row>
    <row r="1173" spans="1:29" s="22" customFormat="1" ht="15.75">
      <c r="A1173" s="449" t="s">
        <v>923</v>
      </c>
      <c r="B1173" s="461" t="s">
        <v>2101</v>
      </c>
      <c r="C1173" s="449" t="s">
        <v>2102</v>
      </c>
      <c r="D1173" s="449" t="s">
        <v>2068</v>
      </c>
      <c r="H1173" t="s">
        <v>109</v>
      </c>
      <c r="V1173" s="1284"/>
      <c r="W1173" s="1284"/>
    </row>
    <row r="1174" spans="1:29" s="22" customFormat="1" ht="30">
      <c r="A1174" s="460" t="s">
        <v>2103</v>
      </c>
      <c r="B1174" s="462" t="s">
        <v>2104</v>
      </c>
      <c r="C1174" s="428">
        <v>2.92</v>
      </c>
      <c r="D1174" s="5">
        <f>C1174*0.00110231</f>
        <v>3.2187451999999999E-3</v>
      </c>
      <c r="H1174" t="s">
        <v>94</v>
      </c>
      <c r="V1174" s="1284"/>
      <c r="W1174" s="1284"/>
      <c r="Z1174"/>
      <c r="AA1174"/>
      <c r="AB1174"/>
      <c r="AC1174"/>
    </row>
    <row r="1175" spans="1:29" s="22" customFormat="1" ht="16.5" thickBot="1">
      <c r="A1175" s="460"/>
      <c r="B1175" s="287"/>
      <c r="C1175" s="287"/>
      <c r="D1175" s="287"/>
      <c r="H1175" t="s">
        <v>1766</v>
      </c>
      <c r="V1175" s="1284"/>
      <c r="W1175" s="1284"/>
    </row>
    <row r="1176" spans="1:29" ht="21.75" thickBot="1">
      <c r="A1176" s="1830" t="s">
        <v>830</v>
      </c>
      <c r="B1176" s="1831"/>
      <c r="C1176" s="1831"/>
      <c r="D1176" s="1832"/>
      <c r="E1176" s="22"/>
      <c r="F1176" s="22"/>
      <c r="G1176" s="22"/>
      <c r="H1176" t="s">
        <v>1812</v>
      </c>
      <c r="I1176" s="22"/>
      <c r="J1176" s="22"/>
      <c r="K1176" s="22"/>
      <c r="L1176" s="22"/>
      <c r="M1176" s="22"/>
      <c r="N1176" s="22"/>
      <c r="O1176" s="22"/>
      <c r="P1176" s="22"/>
      <c r="Q1176" s="22"/>
      <c r="Z1176" s="22"/>
      <c r="AA1176" s="22"/>
      <c r="AB1176" s="22"/>
      <c r="AC1176" s="22"/>
    </row>
    <row r="1177" spans="1:29" s="22" customFormat="1" ht="16.5" thickBot="1">
      <c r="A1177"/>
      <c r="B1177"/>
      <c r="C1177"/>
      <c r="D1177"/>
      <c r="E1177"/>
      <c r="F1177"/>
      <c r="G1177"/>
      <c r="H1177" t="s">
        <v>88</v>
      </c>
      <c r="I1177"/>
      <c r="J1177"/>
      <c r="K1177"/>
      <c r="L1177"/>
      <c r="M1177"/>
      <c r="N1177"/>
      <c r="O1177"/>
      <c r="P1177"/>
      <c r="Q1177"/>
      <c r="V1177" s="1284"/>
      <c r="W1177" s="1284"/>
    </row>
    <row r="1178" spans="1:29" s="22" customFormat="1" ht="15.75">
      <c r="A1178" s="463" t="s">
        <v>2105</v>
      </c>
      <c r="B1178" s="432" t="s">
        <v>2106</v>
      </c>
      <c r="C1178" s="464" t="s">
        <v>2068</v>
      </c>
      <c r="G1178" s="264"/>
      <c r="H1178" t="s">
        <v>131</v>
      </c>
      <c r="V1178" s="1284"/>
      <c r="W1178" s="1284"/>
    </row>
    <row r="1179" spans="1:29" s="22" customFormat="1" ht="15.75">
      <c r="A1179" s="465" t="s">
        <v>916</v>
      </c>
      <c r="B1179" s="466" t="s">
        <v>2387</v>
      </c>
      <c r="C1179" s="452">
        <v>2.8288000000000002</v>
      </c>
      <c r="G1179" s="264"/>
      <c r="H1179" t="s">
        <v>1968</v>
      </c>
      <c r="V1179" s="1284"/>
      <c r="W1179" s="1284"/>
    </row>
    <row r="1180" spans="1:29" s="22" customFormat="1" ht="16.5" thickBot="1">
      <c r="A1180" s="467" t="s">
        <v>917</v>
      </c>
      <c r="B1180" s="468" t="s">
        <v>2388</v>
      </c>
      <c r="C1180" s="469">
        <v>0.53310000000000002</v>
      </c>
      <c r="G1180" s="264"/>
      <c r="H1180" s="3" t="s">
        <v>195</v>
      </c>
      <c r="V1180" s="1284"/>
      <c r="W1180" s="1284"/>
    </row>
    <row r="1181" spans="1:29" s="22" customFormat="1" ht="16.5" thickBot="1">
      <c r="H1181" s="3" t="s">
        <v>2001</v>
      </c>
      <c r="V1181" s="1284"/>
      <c r="W1181" s="1284"/>
    </row>
    <row r="1182" spans="1:29" s="22" customFormat="1" ht="30.75" thickBot="1">
      <c r="A1182" s="1830" t="s">
        <v>829</v>
      </c>
      <c r="B1182" s="1831"/>
      <c r="C1182" s="1831"/>
      <c r="D1182" s="1832"/>
      <c r="H1182" s="3" t="s">
        <v>1233</v>
      </c>
      <c r="V1182" s="1284"/>
      <c r="W1182" s="1284"/>
    </row>
    <row r="1183" spans="1:29" s="22" customFormat="1" ht="16.5" thickBot="1">
      <c r="H1183" s="3" t="s">
        <v>201</v>
      </c>
      <c r="V1183" s="1284"/>
      <c r="W1183" s="1284"/>
    </row>
    <row r="1184" spans="1:29" s="22" customFormat="1" ht="15.75">
      <c r="A1184" s="470" t="s">
        <v>923</v>
      </c>
      <c r="B1184" s="471" t="s">
        <v>2389</v>
      </c>
      <c r="C1184" s="470" t="s">
        <v>2068</v>
      </c>
      <c r="H1184" s="264" t="s">
        <v>109</v>
      </c>
      <c r="I1184" s="22" t="s">
        <v>2390</v>
      </c>
      <c r="V1184" s="1284"/>
      <c r="W1184" s="1284"/>
    </row>
    <row r="1185" spans="1:29" s="22" customFormat="1" ht="15.75">
      <c r="A1185" s="472" t="s">
        <v>2110</v>
      </c>
      <c r="B1185" s="1252" t="s">
        <v>2391</v>
      </c>
      <c r="C1185" s="473">
        <v>1.0940000000000001</v>
      </c>
      <c r="H1185" s="264"/>
      <c r="V1185" s="1284"/>
      <c r="W1185" s="1284"/>
    </row>
    <row r="1186" spans="1:29" s="22" customFormat="1" ht="15.75">
      <c r="A1186" s="472" t="s">
        <v>2112</v>
      </c>
      <c r="B1186" s="1252" t="s">
        <v>2391</v>
      </c>
      <c r="C1186" s="473">
        <v>1.0940000000000001</v>
      </c>
      <c r="H1186" s="264"/>
      <c r="V1186" s="1284"/>
      <c r="W1186" s="1284"/>
      <c r="Z1186"/>
      <c r="AA1186"/>
      <c r="AB1186"/>
      <c r="AC1186"/>
    </row>
    <row r="1187" spans="1:29" s="22" customFormat="1" ht="15.75">
      <c r="A1187" s="472" t="s">
        <v>2113</v>
      </c>
      <c r="B1187" s="1252" t="s">
        <v>2114</v>
      </c>
      <c r="C1187" s="473">
        <v>5.8624999999999998</v>
      </c>
      <c r="H1187" s="264"/>
      <c r="V1187" s="1284"/>
      <c r="W1187" s="1284"/>
    </row>
    <row r="1188" spans="1:29" s="22" customFormat="1" ht="15.75">
      <c r="A1188" s="472" t="s">
        <v>907</v>
      </c>
      <c r="B1188" s="1252" t="s">
        <v>2392</v>
      </c>
      <c r="C1188" s="473">
        <v>2.4394999999999998</v>
      </c>
      <c r="H1188" s="264"/>
      <c r="V1188" s="1284"/>
      <c r="W1188" s="1284"/>
    </row>
    <row r="1189" spans="1:29" s="22" customFormat="1" ht="30">
      <c r="A1189" s="472" t="s">
        <v>908</v>
      </c>
      <c r="B1189" s="1252" t="s">
        <v>2393</v>
      </c>
      <c r="C1189" s="473">
        <v>2.5211000000000001</v>
      </c>
      <c r="H1189" s="264"/>
      <c r="V1189" s="1284"/>
      <c r="W1189" s="1284"/>
    </row>
    <row r="1190" spans="1:29" s="22" customFormat="1" ht="15.75">
      <c r="A1190" s="472" t="s">
        <v>2117</v>
      </c>
      <c r="B1190" s="1252" t="s">
        <v>2394</v>
      </c>
      <c r="C1190" s="473">
        <v>0.47961999999999999</v>
      </c>
      <c r="H1190" s="264"/>
      <c r="V1190" s="1284"/>
      <c r="W1190" s="1284"/>
    </row>
    <row r="1191" spans="1:29" s="22" customFormat="1" ht="15.75">
      <c r="A1191" s="472" t="s">
        <v>2119</v>
      </c>
      <c r="B1191" s="1252" t="s">
        <v>2120</v>
      </c>
      <c r="C1191" s="473">
        <v>11.646000000000001</v>
      </c>
      <c r="H1191" s="264"/>
      <c r="V1191" s="1284"/>
      <c r="W1191" s="1284"/>
    </row>
    <row r="1192" spans="1:29" s="22" customFormat="1" ht="15.75">
      <c r="A1192" s="472" t="s">
        <v>2121</v>
      </c>
      <c r="B1192" s="1252" t="s">
        <v>2122</v>
      </c>
      <c r="C1192" s="473">
        <v>0.43692999999999999</v>
      </c>
      <c r="H1192" s="264"/>
      <c r="V1192" s="1284"/>
      <c r="W1192" s="1284"/>
    </row>
    <row r="1193" spans="1:29" s="22" customFormat="1" ht="15.75">
      <c r="A1193" s="472" t="s">
        <v>2125</v>
      </c>
      <c r="B1193" s="1252" t="s">
        <v>2395</v>
      </c>
      <c r="C1193" s="473">
        <v>2.4152999999999998</v>
      </c>
      <c r="H1193" s="264"/>
      <c r="V1193" s="1284"/>
      <c r="W1193" s="1284"/>
    </row>
    <row r="1194" spans="1:29" s="22" customFormat="1" ht="30.75" thickBot="1">
      <c r="A1194" s="474" t="s">
        <v>2127</v>
      </c>
      <c r="B1194" s="1253" t="s">
        <v>2128</v>
      </c>
      <c r="C1194" s="475">
        <v>0.41826999999999998</v>
      </c>
      <c r="H1194" s="264"/>
      <c r="V1194" s="1284"/>
      <c r="W1194" s="1284"/>
    </row>
    <row r="1195" spans="1:29" s="22" customFormat="1" ht="16.5" thickBot="1">
      <c r="H1195" s="264"/>
      <c r="V1195" s="1284"/>
      <c r="W1195" s="1284"/>
    </row>
    <row r="1196" spans="1:29" s="22" customFormat="1" ht="21.75" thickBot="1">
      <c r="A1196" s="1830" t="s">
        <v>2130</v>
      </c>
      <c r="B1196" s="1831"/>
      <c r="C1196" s="1831"/>
      <c r="D1196" s="1832"/>
      <c r="H1196" s="264"/>
      <c r="V1196" s="1284"/>
      <c r="W1196" s="1284"/>
    </row>
    <row r="1197" spans="1:29" s="22" customFormat="1" ht="16.5" thickBot="1">
      <c r="H1197" s="264"/>
      <c r="V1197" s="1284"/>
      <c r="W1197" s="1284"/>
    </row>
    <row r="1198" spans="1:29" s="22" customFormat="1" ht="15.75">
      <c r="A1198" s="470" t="s">
        <v>923</v>
      </c>
      <c r="B1198" s="432" t="s">
        <v>2372</v>
      </c>
      <c r="C1198" s="471" t="s">
        <v>2314</v>
      </c>
      <c r="H1198" s="264"/>
      <c r="V1198" s="1284"/>
      <c r="W1198" s="1284"/>
    </row>
    <row r="1199" spans="1:29" s="22" customFormat="1" ht="15.75">
      <c r="A1199" s="472" t="s">
        <v>2132</v>
      </c>
      <c r="B1199" s="1252" t="s">
        <v>2396</v>
      </c>
      <c r="C1199" s="473">
        <v>3.9358</v>
      </c>
      <c r="H1199" s="264"/>
      <c r="V1199" s="1284"/>
      <c r="W1199" s="1284"/>
    </row>
    <row r="1200" spans="1:29" s="22" customFormat="1" ht="15.75">
      <c r="A1200" s="472" t="s">
        <v>2134</v>
      </c>
      <c r="B1200" s="1252" t="s">
        <v>2397</v>
      </c>
      <c r="C1200" s="473">
        <v>3.2029000000000001</v>
      </c>
      <c r="H1200" s="264"/>
      <c r="V1200" s="1284"/>
      <c r="W1200" s="1284"/>
    </row>
    <row r="1201" spans="1:29" s="22" customFormat="1" ht="15.75">
      <c r="A1201" s="472" t="s">
        <v>2136</v>
      </c>
      <c r="B1201" s="1252" t="s">
        <v>2398</v>
      </c>
      <c r="C1201" s="473">
        <v>2.2707999999999999</v>
      </c>
      <c r="H1201" s="264"/>
      <c r="V1201" s="1284"/>
      <c r="W1201" s="1284"/>
    </row>
    <row r="1202" spans="1:29" s="22" customFormat="1" ht="15.75">
      <c r="A1202" s="472" t="s">
        <v>2138</v>
      </c>
      <c r="B1202" s="1252" t="s">
        <v>2399</v>
      </c>
      <c r="C1202" s="473">
        <v>1.6064000000000001</v>
      </c>
      <c r="H1202" s="264"/>
      <c r="V1202" s="1284"/>
      <c r="W1202" s="1284"/>
    </row>
    <row r="1203" spans="1:29" s="22" customFormat="1" ht="15.75">
      <c r="A1203" s="472" t="s">
        <v>2140</v>
      </c>
      <c r="B1203" s="1252" t="s">
        <v>2400</v>
      </c>
      <c r="C1203" s="473">
        <v>2.7721</v>
      </c>
      <c r="H1203" s="264"/>
      <c r="V1203" s="1284"/>
      <c r="W1203" s="1284"/>
    </row>
    <row r="1204" spans="1:29" s="22" customFormat="1" ht="15.75">
      <c r="A1204" s="472" t="s">
        <v>2142</v>
      </c>
      <c r="B1204" s="1252" t="s">
        <v>2401</v>
      </c>
      <c r="C1204" s="473">
        <v>0.60897000000000001</v>
      </c>
      <c r="H1204" s="264"/>
      <c r="V1204" s="1284"/>
      <c r="W1204" s="1284"/>
    </row>
    <row r="1205" spans="1:29" s="22" customFormat="1" ht="15.75">
      <c r="A1205" s="472" t="s">
        <v>2144</v>
      </c>
      <c r="B1205" s="1252" t="s">
        <v>2145</v>
      </c>
      <c r="C1205" s="473">
        <v>2.6286999999999998</v>
      </c>
      <c r="H1205" s="264"/>
      <c r="V1205" s="1284"/>
      <c r="W1205" s="1284"/>
    </row>
    <row r="1206" spans="1:29" s="22" customFormat="1" ht="15.75">
      <c r="A1206" s="472" t="s">
        <v>2146</v>
      </c>
      <c r="B1206" s="1252" t="s">
        <v>2402</v>
      </c>
      <c r="C1206" s="473">
        <v>2.7248000000000001</v>
      </c>
      <c r="H1206" s="264"/>
      <c r="V1206" s="1284"/>
      <c r="W1206" s="1284"/>
    </row>
    <row r="1207" spans="1:29" s="22" customFormat="1" ht="30">
      <c r="A1207" s="472" t="s">
        <v>2148</v>
      </c>
      <c r="B1207" s="1252" t="s">
        <v>2403</v>
      </c>
      <c r="C1207" s="473">
        <v>1.29</v>
      </c>
      <c r="H1207" s="264"/>
      <c r="V1207" s="1284"/>
      <c r="W1207" s="1284"/>
    </row>
    <row r="1208" spans="1:29" s="22" customFormat="1" ht="30">
      <c r="A1208" s="472" t="s">
        <v>2150</v>
      </c>
      <c r="B1208" s="1252" t="s">
        <v>2151</v>
      </c>
      <c r="C1208" s="473">
        <v>1.4736</v>
      </c>
      <c r="H1208" s="264"/>
      <c r="V1208" s="1284"/>
      <c r="W1208" s="1284"/>
    </row>
    <row r="1209" spans="1:29" s="22" customFormat="1" ht="30">
      <c r="A1209" s="472" t="s">
        <v>937</v>
      </c>
      <c r="B1209" s="1252" t="s">
        <v>2152</v>
      </c>
      <c r="C1209" s="473">
        <v>1.4795</v>
      </c>
      <c r="H1209" s="264"/>
      <c r="V1209" s="1284"/>
      <c r="W1209" s="1284"/>
    </row>
    <row r="1210" spans="1:29" s="22" customFormat="1" ht="30">
      <c r="A1210" s="472" t="s">
        <v>2153</v>
      </c>
      <c r="B1210" s="1252" t="s">
        <v>2154</v>
      </c>
      <c r="C1210" s="473">
        <v>2.5684999999999998</v>
      </c>
      <c r="H1210" s="264"/>
      <c r="V1210" s="1284"/>
      <c r="W1210" s="1284"/>
    </row>
    <row r="1211" spans="1:29" s="22" customFormat="1" ht="15.75">
      <c r="A1211" s="472" t="s">
        <v>939</v>
      </c>
      <c r="B1211" s="1252" t="s">
        <v>2155</v>
      </c>
      <c r="C1211" s="473">
        <v>8.7681000000000004</v>
      </c>
      <c r="H1211" s="264"/>
      <c r="V1211" s="1284"/>
      <c r="W1211" s="1284"/>
    </row>
    <row r="1212" spans="1:29" s="22" customFormat="1" ht="15.75">
      <c r="A1212" s="472" t="s">
        <v>2156</v>
      </c>
      <c r="B1212" s="1252" t="s">
        <v>2157</v>
      </c>
      <c r="C1212" s="473">
        <v>0.13647999999999999</v>
      </c>
      <c r="H1212" s="264"/>
      <c r="V1212" s="1284"/>
      <c r="W1212" s="1284"/>
    </row>
    <row r="1213" spans="1:29" s="22" customFormat="1" ht="16.5" thickBot="1">
      <c r="A1213" s="474" t="s">
        <v>941</v>
      </c>
      <c r="B1213" s="1253" t="s">
        <v>2158</v>
      </c>
      <c r="C1213" s="475">
        <v>1.6773</v>
      </c>
      <c r="H1213" s="264"/>
      <c r="V1213" s="1284"/>
      <c r="W1213" s="1284"/>
    </row>
    <row r="1214" spans="1:29" ht="16.5" thickBot="1">
      <c r="A1214" s="22"/>
      <c r="B1214" s="22"/>
      <c r="C1214" s="22"/>
      <c r="D1214" s="22"/>
      <c r="E1214" s="22"/>
      <c r="F1214" s="22"/>
      <c r="G1214" s="22"/>
      <c r="H1214" s="22"/>
      <c r="I1214" s="264"/>
      <c r="J1214" s="22"/>
      <c r="K1214" s="22"/>
      <c r="L1214" s="22"/>
      <c r="M1214" s="22"/>
      <c r="N1214" s="22"/>
      <c r="O1214" s="22"/>
      <c r="P1214" s="22"/>
      <c r="Q1214" s="22"/>
      <c r="Z1214" s="22"/>
      <c r="AA1214" s="22"/>
      <c r="AB1214" s="22"/>
      <c r="AC1214" s="22"/>
    </row>
    <row r="1215" spans="1:29" ht="21.75" thickBot="1">
      <c r="A1215" s="1830" t="s">
        <v>833</v>
      </c>
      <c r="B1215" s="1831"/>
      <c r="C1215" s="1831"/>
      <c r="D1215" s="1832"/>
      <c r="Z1215" s="22"/>
      <c r="AA1215" s="22"/>
      <c r="AB1215" s="22"/>
      <c r="AC1215" s="22"/>
    </row>
    <row r="1216" spans="1:29" ht="63">
      <c r="A1216" s="260" t="s">
        <v>963</v>
      </c>
      <c r="Z1216" s="22"/>
      <c r="AA1216" s="22"/>
      <c r="AB1216" s="22"/>
      <c r="AC1216" s="22"/>
    </row>
    <row r="1217" spans="1:29" ht="15.75">
      <c r="A1217" s="254">
        <v>3.3</v>
      </c>
      <c r="Z1217" s="22"/>
      <c r="AA1217" s="22"/>
      <c r="AB1217" s="22"/>
      <c r="AC1217" s="22"/>
    </row>
    <row r="1218" spans="1:29" ht="15.75">
      <c r="Z1218" s="22"/>
      <c r="AA1218" s="22"/>
      <c r="AB1218" s="22"/>
      <c r="AC1218" s="22"/>
    </row>
    <row r="1219" spans="1:29" ht="15.75">
      <c r="Z1219" s="22"/>
      <c r="AA1219" s="22"/>
      <c r="AB1219" s="22"/>
      <c r="AC1219" s="22"/>
    </row>
    <row r="1220" spans="1:29" ht="15.75">
      <c r="Z1220" s="22"/>
      <c r="AA1220" s="22"/>
      <c r="AB1220" s="22"/>
      <c r="AC1220" s="22"/>
    </row>
    <row r="1221" spans="1:29" ht="15.75">
      <c r="Z1221" s="22"/>
      <c r="AA1221" s="22"/>
      <c r="AB1221" s="22"/>
      <c r="AC1221" s="22"/>
    </row>
    <row r="1222" spans="1:29" ht="15.75">
      <c r="Z1222" s="22"/>
      <c r="AA1222" s="22"/>
      <c r="AB1222" s="22"/>
      <c r="AC1222" s="22"/>
    </row>
    <row r="1223" spans="1:29" ht="15.75">
      <c r="Z1223" s="22"/>
      <c r="AA1223" s="22"/>
      <c r="AB1223" s="22"/>
      <c r="AC1223" s="22"/>
    </row>
  </sheetData>
  <sheetProtection selectLockedCells="1"/>
  <mergeCells count="209">
    <mergeCell ref="A1196:D1196"/>
    <mergeCell ref="A1215:D1215"/>
    <mergeCell ref="J26:J28"/>
    <mergeCell ref="Y72:Y73"/>
    <mergeCell ref="A1126:B1126"/>
    <mergeCell ref="A1149:J1149"/>
    <mergeCell ref="A1151:B1151"/>
    <mergeCell ref="A1164:D1164"/>
    <mergeCell ref="A1176:D1176"/>
    <mergeCell ref="A1182:D1182"/>
    <mergeCell ref="A1112:M1112"/>
    <mergeCell ref="R1112:T1112"/>
    <mergeCell ref="R1113:S1113"/>
    <mergeCell ref="R1114:S1114"/>
    <mergeCell ref="R1116:T1116"/>
    <mergeCell ref="A1121:Q1121"/>
    <mergeCell ref="A1084:I1084"/>
    <mergeCell ref="A1085:H1085"/>
    <mergeCell ref="A1086:H1086"/>
    <mergeCell ref="A1087:H1087"/>
    <mergeCell ref="A1090:Q1090"/>
    <mergeCell ref="A1091:F1091"/>
    <mergeCell ref="A1060:F1060"/>
    <mergeCell ref="A1079:I1079"/>
    <mergeCell ref="A1080:G1080"/>
    <mergeCell ref="A1081:H1081"/>
    <mergeCell ref="A1082:H1082"/>
    <mergeCell ref="A1083:J1083"/>
    <mergeCell ref="A1013:A1014"/>
    <mergeCell ref="A1027:Q1027"/>
    <mergeCell ref="A1047:Q1047"/>
    <mergeCell ref="A1055:Q1055"/>
    <mergeCell ref="A1057:G1057"/>
    <mergeCell ref="A1058:G1058"/>
    <mergeCell ref="B999:D999"/>
    <mergeCell ref="B1000:D1000"/>
    <mergeCell ref="B1001:D1001"/>
    <mergeCell ref="B1002:D1002"/>
    <mergeCell ref="A1004:A1010"/>
    <mergeCell ref="B1005:D1005"/>
    <mergeCell ref="B1008:D1008"/>
    <mergeCell ref="B1009:D1009"/>
    <mergeCell ref="B1010:D1010"/>
    <mergeCell ref="A887:Q887"/>
    <mergeCell ref="A947:Q947"/>
    <mergeCell ref="A949:E949"/>
    <mergeCell ref="A990:Q990"/>
    <mergeCell ref="B993:D994"/>
    <mergeCell ref="B995:B996"/>
    <mergeCell ref="C995:C996"/>
    <mergeCell ref="B810:G810"/>
    <mergeCell ref="B816:G816"/>
    <mergeCell ref="B822:G822"/>
    <mergeCell ref="A828:F828"/>
    <mergeCell ref="A829:B829"/>
    <mergeCell ref="A830:A885"/>
    <mergeCell ref="A766:G766"/>
    <mergeCell ref="A767:B767"/>
    <mergeCell ref="A768:A826"/>
    <mergeCell ref="B768:G768"/>
    <mergeCell ref="B774:G774"/>
    <mergeCell ref="B780:G780"/>
    <mergeCell ref="B786:G786"/>
    <mergeCell ref="B792:G792"/>
    <mergeCell ref="B798:G798"/>
    <mergeCell ref="B804:G804"/>
    <mergeCell ref="A755:B755"/>
    <mergeCell ref="Y755:Y758"/>
    <mergeCell ref="A756:A759"/>
    <mergeCell ref="Y759:Y761"/>
    <mergeCell ref="A760:A762"/>
    <mergeCell ref="D744:G744"/>
    <mergeCell ref="A745:B745"/>
    <mergeCell ref="Y745:Y747"/>
    <mergeCell ref="A746:A748"/>
    <mergeCell ref="Y748:Y752"/>
    <mergeCell ref="A749:A753"/>
    <mergeCell ref="D737:G737"/>
    <mergeCell ref="A738:B738"/>
    <mergeCell ref="Y738:Y741"/>
    <mergeCell ref="A739:A742"/>
    <mergeCell ref="A716:B716"/>
    <mergeCell ref="Y716:Y724"/>
    <mergeCell ref="A717:A725"/>
    <mergeCell ref="Y725:Y733"/>
    <mergeCell ref="A726:A734"/>
    <mergeCell ref="Y734:Y735"/>
    <mergeCell ref="A735:A736"/>
    <mergeCell ref="A687:A690"/>
    <mergeCell ref="C687:E687"/>
    <mergeCell ref="C688:E688"/>
    <mergeCell ref="C689:E689"/>
    <mergeCell ref="G542:K542"/>
    <mergeCell ref="G543:K543"/>
    <mergeCell ref="A545:Q545"/>
    <mergeCell ref="A635:Q635"/>
    <mergeCell ref="B664:G664"/>
    <mergeCell ref="A669:Q669"/>
    <mergeCell ref="A506:I506"/>
    <mergeCell ref="A507:B507"/>
    <mergeCell ref="A511:Q511"/>
    <mergeCell ref="G539:K539"/>
    <mergeCell ref="G540:K540"/>
    <mergeCell ref="G541:K541"/>
    <mergeCell ref="A474:M474"/>
    <mergeCell ref="A475:B475"/>
    <mergeCell ref="I475:M475"/>
    <mergeCell ref="A476:A482"/>
    <mergeCell ref="I476:M504"/>
    <mergeCell ref="A483:A489"/>
    <mergeCell ref="A490:A496"/>
    <mergeCell ref="A497:A499"/>
    <mergeCell ref="A500:A503"/>
    <mergeCell ref="A464:A466"/>
    <mergeCell ref="M464:M466"/>
    <mergeCell ref="A468:K468"/>
    <mergeCell ref="A469:B469"/>
    <mergeCell ref="I469:K469"/>
    <mergeCell ref="A470:A472"/>
    <mergeCell ref="I470:K472"/>
    <mergeCell ref="A457:B457"/>
    <mergeCell ref="A458:B458"/>
    <mergeCell ref="A459:B459"/>
    <mergeCell ref="D462:G462"/>
    <mergeCell ref="H462:K462"/>
    <mergeCell ref="A463:B463"/>
    <mergeCell ref="A430:B430"/>
    <mergeCell ref="A431:A439"/>
    <mergeCell ref="A440:A448"/>
    <mergeCell ref="A449:A453"/>
    <mergeCell ref="A456:C456"/>
    <mergeCell ref="D456:G456"/>
    <mergeCell ref="A422:B422"/>
    <mergeCell ref="A423:B423"/>
    <mergeCell ref="A424:B424"/>
    <mergeCell ref="A425:B425"/>
    <mergeCell ref="A428:O428"/>
    <mergeCell ref="A429:C429"/>
    <mergeCell ref="D429:G429"/>
    <mergeCell ref="H429:K429"/>
    <mergeCell ref="L429:O429"/>
    <mergeCell ref="A403:A407"/>
    <mergeCell ref="A408:A412"/>
    <mergeCell ref="A413:A417"/>
    <mergeCell ref="A420:C420"/>
    <mergeCell ref="D420:G420"/>
    <mergeCell ref="A421:B421"/>
    <mergeCell ref="A373:A377"/>
    <mergeCell ref="A378:A382"/>
    <mergeCell ref="A383:A387"/>
    <mergeCell ref="A388:A392"/>
    <mergeCell ref="A393:A397"/>
    <mergeCell ref="A398:A402"/>
    <mergeCell ref="A370:N370"/>
    <mergeCell ref="A371:C371"/>
    <mergeCell ref="D371:G371"/>
    <mergeCell ref="H371:K371"/>
    <mergeCell ref="L371:O371"/>
    <mergeCell ref="A372:B372"/>
    <mergeCell ref="A364:N364"/>
    <mergeCell ref="A365:B365"/>
    <mergeCell ref="I365:N365"/>
    <mergeCell ref="I366:N366"/>
    <mergeCell ref="I367:N367"/>
    <mergeCell ref="I368:N368"/>
    <mergeCell ref="A360:Q360"/>
    <mergeCell ref="A362:H363"/>
    <mergeCell ref="A326:A327"/>
    <mergeCell ref="B332:B333"/>
    <mergeCell ref="C332:C333"/>
    <mergeCell ref="D332:D333"/>
    <mergeCell ref="E332:E333"/>
    <mergeCell ref="B336:B337"/>
    <mergeCell ref="C336:C337"/>
    <mergeCell ref="D336:D337"/>
    <mergeCell ref="E336:E337"/>
    <mergeCell ref="B201:E201"/>
    <mergeCell ref="B205:E205"/>
    <mergeCell ref="B221:E221"/>
    <mergeCell ref="B223:E223"/>
    <mergeCell ref="B227:E227"/>
    <mergeCell ref="A341:A342"/>
    <mergeCell ref="A346:A347"/>
    <mergeCell ref="B349:B350"/>
    <mergeCell ref="B351:B352"/>
    <mergeCell ref="A2:Q2"/>
    <mergeCell ref="A11:Q11"/>
    <mergeCell ref="A19:Q19"/>
    <mergeCell ref="F996:F997"/>
    <mergeCell ref="A142:Q142"/>
    <mergeCell ref="A144:I144"/>
    <mergeCell ref="A145:I145"/>
    <mergeCell ref="B178:E178"/>
    <mergeCell ref="B179:C179"/>
    <mergeCell ref="D179:D180"/>
    <mergeCell ref="E179:E180"/>
    <mergeCell ref="A90:Q90"/>
    <mergeCell ref="A100:Q100"/>
    <mergeCell ref="A101:F101"/>
    <mergeCell ref="A102:F102"/>
    <mergeCell ref="A103:F103"/>
    <mergeCell ref="A118:Q118"/>
    <mergeCell ref="B239:E239"/>
    <mergeCell ref="B242:E242"/>
    <mergeCell ref="A250:Q250"/>
    <mergeCell ref="A253:A255"/>
    <mergeCell ref="A277:Q277"/>
    <mergeCell ref="A324:Q324"/>
    <mergeCell ref="B181:E181"/>
  </mergeCells>
  <phoneticPr fontId="38" type="noConversion"/>
  <conditionalFormatting sqref="M739:N742">
    <cfRule type="cellIs" dxfId="33" priority="26" operator="greaterThan">
      <formula>0.25</formula>
    </cfRule>
    <cfRule type="cellIs" dxfId="32" priority="27" operator="greaterThan">
      <formula>0.1</formula>
    </cfRule>
    <cfRule type="cellIs" dxfId="31" priority="28" operator="greaterThan">
      <formula>10</formula>
    </cfRule>
  </conditionalFormatting>
  <conditionalFormatting sqref="M746:N753">
    <cfRule type="cellIs" dxfId="30" priority="25" operator="lessThan">
      <formula>-0.1</formula>
    </cfRule>
  </conditionalFormatting>
  <conditionalFormatting sqref="R421:R424">
    <cfRule type="cellIs" dxfId="29" priority="21" operator="greaterThan">
      <formula>10</formula>
    </cfRule>
    <cfRule type="cellIs" dxfId="28" priority="20" operator="greaterThan">
      <formula>0.1</formula>
    </cfRule>
    <cfRule type="cellIs" dxfId="27" priority="19" operator="greaterThan">
      <formula>0.25</formula>
    </cfRule>
  </conditionalFormatting>
  <conditionalFormatting sqref="R475:R503">
    <cfRule type="cellIs" dxfId="26" priority="1" operator="lessThan">
      <formula>-0.25</formula>
    </cfRule>
    <cfRule type="cellIs" dxfId="25" priority="2" operator="lessThan">
      <formula>-0.1</formula>
    </cfRule>
    <cfRule type="cellIs" dxfId="24" priority="3" operator="lessThan">
      <formula>-0.25</formula>
    </cfRule>
    <cfRule type="cellIs" dxfId="23" priority="4" operator="greaterThan">
      <formula>0.25</formula>
    </cfRule>
    <cfRule type="cellIs" dxfId="22" priority="5" operator="greaterThan">
      <formula>0.1</formula>
    </cfRule>
    <cfRule type="cellIs" dxfId="21" priority="6" operator="greaterThan">
      <formula>10</formula>
    </cfRule>
  </conditionalFormatting>
  <conditionalFormatting sqref="S463:T465">
    <cfRule type="cellIs" dxfId="20" priority="7" operator="lessThan">
      <formula>-0.25</formula>
    </cfRule>
    <cfRule type="cellIs" dxfId="19" priority="8" operator="lessThan">
      <formula>-0.1</formula>
    </cfRule>
    <cfRule type="cellIs" dxfId="18" priority="9" operator="lessThan">
      <formula>-0.25</formula>
    </cfRule>
    <cfRule type="cellIs" dxfId="17" priority="10" operator="greaterThan">
      <formula>0.25</formula>
    </cfRule>
    <cfRule type="cellIs" dxfId="16" priority="11" operator="greaterThan">
      <formula>0.1</formula>
    </cfRule>
    <cfRule type="cellIs" dxfId="15" priority="12" operator="greaterThan">
      <formula>10</formula>
    </cfRule>
  </conditionalFormatting>
  <conditionalFormatting sqref="T717:T735">
    <cfRule type="cellIs" dxfId="14" priority="29" operator="greaterThan">
      <formula>0.25</formula>
    </cfRule>
    <cfRule type="cellIs" dxfId="13" priority="30" operator="greaterThan">
      <formula>0.1</formula>
    </cfRule>
    <cfRule type="cellIs" dxfId="12" priority="31" operator="greaterThan">
      <formula>10</formula>
    </cfRule>
  </conditionalFormatting>
  <conditionalFormatting sqref="T762:T764">
    <cfRule type="cellIs" dxfId="11" priority="34" operator="greaterThan">
      <formula>10</formula>
    </cfRule>
    <cfRule type="cellIs" dxfId="10" priority="32" operator="greaterThan">
      <formula>0.25</formula>
    </cfRule>
    <cfRule type="cellIs" dxfId="9" priority="33" operator="greaterThan">
      <formula>0.1</formula>
    </cfRule>
  </conditionalFormatting>
  <conditionalFormatting sqref="T372:V416">
    <cfRule type="cellIs" dxfId="8" priority="22" operator="greaterThan">
      <formula>0.25</formula>
    </cfRule>
    <cfRule type="cellIs" dxfId="7" priority="23" operator="greaterThan">
      <formula>0.1</formula>
    </cfRule>
    <cfRule type="cellIs" dxfId="6" priority="24" operator="greaterThan">
      <formula>10</formula>
    </cfRule>
  </conditionalFormatting>
  <conditionalFormatting sqref="T430:V452">
    <cfRule type="cellIs" dxfId="5" priority="13" operator="lessThan">
      <formula>-0.25</formula>
    </cfRule>
    <cfRule type="cellIs" dxfId="4" priority="17" operator="greaterThan">
      <formula>0.1</formula>
    </cfRule>
    <cfRule type="cellIs" dxfId="3" priority="16" operator="greaterThan">
      <formula>0.25</formula>
    </cfRule>
    <cfRule type="cellIs" dxfId="2" priority="15" operator="lessThan">
      <formula>-0.25</formula>
    </cfRule>
    <cfRule type="cellIs" dxfId="1" priority="14" operator="lessThan">
      <formula>-0.1</formula>
    </cfRule>
    <cfRule type="cellIs" dxfId="0" priority="18" operator="greaterThan">
      <formula>10</formula>
    </cfRule>
  </conditionalFormatting>
  <hyperlinks>
    <hyperlink ref="A541" r:id="rId1" xr:uid="{A1595305-25C6-4CBD-85F3-0BFE8CF125EC}"/>
    <hyperlink ref="A1110" r:id="rId2" xr:uid="{16B7B51E-AC52-412A-8A43-28CC1BB2D03B}"/>
    <hyperlink ref="A9" r:id="rId3" xr:uid="{86E42176-9D92-4D52-8E06-1E34E99646A2}"/>
    <hyperlink ref="A509" r:id="rId4" xr:uid="{D38A70F3-7E3E-4F49-8519-8966B52977A6}"/>
    <hyperlink ref="A144" r:id="rId5" display="https://www.ipcc.ch/publications_and_data/ar4/wg1/en/ch2s2-10-2.html " xr:uid="{E9F87A9D-9D1A-4AFD-B7C8-24A0E202E36B}"/>
    <hyperlink ref="A763" r:id="rId6" xr:uid="{F2F9B4DA-595E-4450-8674-ED6CA604E0BC}"/>
    <hyperlink ref="A1030" r:id="rId7" xr:uid="{04310F14-76E6-45E0-839A-6B140CFDA890}"/>
    <hyperlink ref="A248" r:id="rId8" xr:uid="{16E6262D-FB9E-4C04-AD30-B3FA615E9338}"/>
    <hyperlink ref="A176" r:id="rId9" xr:uid="{FA3B5293-3860-4758-96D4-26614809F565}"/>
    <hyperlink ref="A358" r:id="rId10" xr:uid="{B0A267D5-CC8D-4494-AD4D-7F3FFAF66E07}"/>
    <hyperlink ref="A713" r:id="rId11" xr:uid="{B8B56157-9334-4769-94BC-7D4FADA5DA3D}"/>
    <hyperlink ref="A1025" r:id="rId12" xr:uid="{888D64A8-4AEC-46B9-A7A4-9D97ED2B52AB}"/>
    <hyperlink ref="A98" r:id="rId13" display="https://www.globalpetrolprices.com/Chile/" xr:uid="{1E70CF8C-4047-4D28-A41D-A70B942114A5}"/>
    <hyperlink ref="B1174" r:id="rId14" xr:uid="{A34818CA-B8C1-4DBA-BE08-92E4C2E0F55D}"/>
    <hyperlink ref="A684" r:id="rId15" xr:uid="{698E1806-6883-4529-AC85-C26E80FD2159}"/>
    <hyperlink ref="D97" r:id="rId16" location="cross_sector_tools_id" xr:uid="{236D6CAD-DF04-4DFF-808C-8E1A561CCD74}"/>
    <hyperlink ref="W19" r:id="rId17" display="https://www.epa.gov/system/files/documents/2023-03/ghg_emission_factors_hub.pdf" xr:uid="{DF21D7DA-E4AB-4FDC-A24F-4D83F08091EB}"/>
    <hyperlink ref="F676" r:id="rId18" display="https://www.globalpetrolprices.com/Chile/" xr:uid="{94404680-FCD2-4248-AF8D-9B6075611A74}"/>
    <hyperlink ref="Y695" r:id="rId19" xr:uid="{E104B44C-B627-495B-B9DE-DF7B7F10BE8A}"/>
    <hyperlink ref="AA92" r:id="rId20" display="https://www.ipcc-nggip.iges.or.jp/public/2006gl/pdf/2_Volume2/V2_2_Ch2_Stationary_Combustion.pdf" xr:uid="{51C1F6A6-677A-47BC-9F36-65F2B2EAA77D}"/>
    <hyperlink ref="AF110" r:id="rId21" display="https://ecoquery.ecoinvent.org/3.10/cutoff/dataset/23142/impact_assessment" xr:uid="{0CDDE134-54CF-4DB2-8600-0EA595A38BE1}"/>
    <hyperlink ref="AF111" r:id="rId22" display="https://ecoquery.ecoinvent.org/3.10/cutoff/dataset/22862/documentation" xr:uid="{C2999A35-89A3-4CA7-AEE4-73A484DB5232}"/>
    <hyperlink ref="B87" r:id="rId23" display="https://www.ipcc-nggip.iges.or.jp/public/2006gl/pdf/2_Volume2/V2_2_Ch2_Stationary_Combustion.pdf" xr:uid="{AE0823E0-6107-4770-93B3-39EF421A5FEC}"/>
    <hyperlink ref="L331" r:id="rId24" display="https://www.jcm.go.jp/cl-jp/methodologies/68/attached_document1" xr:uid="{FD54F11D-30F4-4D2D-BA37-4E827759E34C}"/>
    <hyperlink ref="L333" r:id="rId25" display="https://view.officeapps.live.com/op/view.aspx?src=https%3A%2F%2Fwww.iges.or.jp%2Fen%2Fpublication_documents%2Fpub%2Fdata%2Fen%2F1215%2FIGES_GRID_EF_v11.3_20231121.xlsx&amp;wdOrigin=BROWSELINK" xr:uid="{E730A856-9B7C-4793-BD3F-9471B52C966E}"/>
    <hyperlink ref="L332" r:id="rId26" display="https://www.climate-transparency.org/wp-content/uploads/2019/11/B2G_2019_Argentina.pdf" xr:uid="{46892F4C-ADCB-486B-9DCD-B3D67924DC47}"/>
    <hyperlink ref="L334" r:id="rId27" display="https://iea.blob.core.windows.net/assets/69b838f4-12ad-4f51-9155-9da6435b5d53/IEA_UpstreamLifeCycleEmissionFactors_Documentation.pdf" xr:uid="{C85E1A57-AAAF-4F27-8899-4BBC5DC85F7A}"/>
    <hyperlink ref="C329" r:id="rId28" display="https://www.climate-transparency.org/wp-content/uploads/2019/11/B2G_2019_Argentina.pdf" xr:uid="{C83B285A-B28A-4F6D-B7A9-326AF241741F}"/>
    <hyperlink ref="F950" r:id="rId29" display="https://www.sciencedirect.com/science/article/abs/pii/S0301479720311361" xr:uid="{0733C0F5-F6FC-4065-BAA5-9300EB310D50}"/>
  </hyperlinks>
  <pageMargins left="0.7" right="0.7" top="0.75" bottom="0.75" header="0.3" footer="0.3"/>
  <pageSetup orientation="portrait" horizontalDpi="1200" verticalDpi="1200" r:id="rId30"/>
  <drawing r:id="rId31"/>
  <legacyDrawing r:id="rId32"/>
  <tableParts count="3">
    <tablePart r:id="rId33"/>
    <tablePart r:id="rId34"/>
    <tablePart r:id="rId3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F3D22-7AE9-409D-A8A4-1D3DEE74B840}">
  <sheetPr>
    <tabColor theme="9" tint="-0.499984740745262"/>
    <pageSetUpPr fitToPage="1"/>
  </sheetPr>
  <dimension ref="A1:IL270"/>
  <sheetViews>
    <sheetView topLeftCell="A139" zoomScale="70" zoomScaleNormal="70" workbookViewId="0">
      <selection activeCell="A149" sqref="A149"/>
    </sheetView>
  </sheetViews>
  <sheetFormatPr baseColWidth="10" defaultColWidth="8.85546875" defaultRowHeight="15" outlineLevelCol="1"/>
  <cols>
    <col min="1" max="1" width="24.42578125" style="7" customWidth="1"/>
    <col min="2" max="2" width="19.42578125" style="7" customWidth="1"/>
    <col min="3" max="3" width="31.42578125" style="7" customWidth="1"/>
    <col min="4" max="4" width="31.5703125" style="7" customWidth="1"/>
    <col min="5" max="5" width="42.7109375" style="7" customWidth="1"/>
    <col min="6" max="6" width="15.7109375" style="7" customWidth="1"/>
    <col min="7" max="7" width="29.5703125" style="7" bestFit="1" customWidth="1"/>
    <col min="8" max="8" width="8.42578125" style="21" customWidth="1"/>
    <col min="9" max="9" width="35.85546875" style="7" bestFit="1" customWidth="1" outlineLevel="1"/>
    <col min="10" max="10" width="41.85546875" style="7" customWidth="1" outlineLevel="1"/>
    <col min="11" max="11" width="45.85546875" style="7" bestFit="1" customWidth="1" outlineLevel="1"/>
    <col min="12" max="12" width="47.7109375" style="7" bestFit="1" customWidth="1" outlineLevel="1"/>
    <col min="13" max="13" width="21.5703125" style="7" customWidth="1" outlineLevel="1"/>
    <col min="14" max="14" width="21.28515625" style="7" customWidth="1"/>
    <col min="15" max="246" width="8.85546875" style="7"/>
  </cols>
  <sheetData>
    <row r="1" spans="1:14" ht="57" thickBot="1">
      <c r="A1" s="140" t="s">
        <v>51</v>
      </c>
      <c r="B1" s="28" t="s">
        <v>52</v>
      </c>
      <c r="C1" s="90" t="s">
        <v>53</v>
      </c>
      <c r="D1" s="90" t="s">
        <v>54</v>
      </c>
      <c r="E1" s="26" t="s">
        <v>55</v>
      </c>
      <c r="F1" s="27" t="s">
        <v>56</v>
      </c>
      <c r="G1" s="478" t="s">
        <v>57</v>
      </c>
      <c r="I1" s="49"/>
      <c r="J1" s="515" t="s">
        <v>52</v>
      </c>
      <c r="K1" s="516" t="s">
        <v>58</v>
      </c>
      <c r="L1" s="516" t="s">
        <v>59</v>
      </c>
      <c r="M1" s="517" t="s">
        <v>60</v>
      </c>
      <c r="N1" s="518" t="s">
        <v>61</v>
      </c>
    </row>
    <row r="2" spans="1:14" ht="19.5" thickTop="1">
      <c r="B2" s="107" t="s">
        <v>62</v>
      </c>
      <c r="C2" s="95"/>
      <c r="D2" s="95"/>
      <c r="E2" s="101"/>
      <c r="F2" s="102"/>
      <c r="G2" s="103"/>
      <c r="J2" s="519" t="s">
        <v>62</v>
      </c>
      <c r="K2" s="520" t="s">
        <v>63</v>
      </c>
      <c r="L2" s="521" t="str">
        <f t="shared" ref="L2:M5" si="0">E4</f>
        <v>Natural Gas</v>
      </c>
      <c r="M2" s="522">
        <f t="shared" si="0"/>
        <v>0</v>
      </c>
      <c r="N2" s="1530" t="e">
        <f>(M2/M75)</f>
        <v>#DIV/0!</v>
      </c>
    </row>
    <row r="3" spans="1:14" ht="15.75">
      <c r="A3" s="142" t="s">
        <v>64</v>
      </c>
      <c r="B3" s="37" t="s">
        <v>62</v>
      </c>
      <c r="C3" s="37" t="s">
        <v>65</v>
      </c>
      <c r="D3" s="37" t="s">
        <v>66</v>
      </c>
      <c r="E3" s="33" t="s">
        <v>65</v>
      </c>
      <c r="F3" s="38">
        <f>SUM(F4:F7)</f>
        <v>0</v>
      </c>
      <c r="G3" s="94" t="e">
        <f>Table15[[#This Row],[CO2mte]]/IF('GHG Emissons Breakdown'!$F$14="Market-Based",Summary!$F$126,IF('GHG Emissons Breakdown'!$F$14="Location-Based",Summary!$F$125,FALSE))</f>
        <v>#DIV/0!</v>
      </c>
      <c r="J3" s="523"/>
      <c r="K3" s="524"/>
      <c r="L3" s="525" t="str">
        <f t="shared" si="0"/>
        <v>LPG</v>
      </c>
      <c r="M3" s="522">
        <f t="shared" si="0"/>
        <v>0</v>
      </c>
      <c r="N3" s="1530" t="e">
        <f>(M3/M75)</f>
        <v>#DIV/0!</v>
      </c>
    </row>
    <row r="4" spans="1:14">
      <c r="A4" s="142" t="s">
        <v>64</v>
      </c>
      <c r="B4" s="37" t="s">
        <v>62</v>
      </c>
      <c r="C4" s="37" t="s">
        <v>65</v>
      </c>
      <c r="D4" s="37" t="s">
        <v>66</v>
      </c>
      <c r="E4" s="32" t="s">
        <v>67</v>
      </c>
      <c r="F4" s="39">
        <f>Stationary!B5</f>
        <v>0</v>
      </c>
      <c r="G4" s="131" t="e">
        <f>Table15[[#This Row],[CO2mte]]/IF('GHG Emissons Breakdown'!$F$14="Market-Based",Summary!$F$126,IF('GHG Emissons Breakdown'!$F$14="Location-Based",Summary!$F$125,FALSE))</f>
        <v>#DIV/0!</v>
      </c>
      <c r="J4" s="523"/>
      <c r="K4" s="524"/>
      <c r="L4" s="525" t="str">
        <f t="shared" si="0"/>
        <v>Diesel</v>
      </c>
      <c r="M4" s="522">
        <f t="shared" si="0"/>
        <v>0</v>
      </c>
      <c r="N4" s="1530"/>
    </row>
    <row r="5" spans="1:14">
      <c r="A5" s="142" t="s">
        <v>64</v>
      </c>
      <c r="B5" s="37" t="s">
        <v>62</v>
      </c>
      <c r="C5" s="37" t="s">
        <v>65</v>
      </c>
      <c r="D5" s="37" t="s">
        <v>66</v>
      </c>
      <c r="E5" s="32" t="s">
        <v>68</v>
      </c>
      <c r="F5" s="39">
        <f>Stationary!B6</f>
        <v>0</v>
      </c>
      <c r="G5" s="131" t="e">
        <f>Table15[[#This Row],[CO2mte]]/IF('GHG Emissons Breakdown'!$F$14="Market-Based",Summary!$F$126,IF('GHG Emissons Breakdown'!$F$14="Location-Based",Summary!$F$125,FALSE))</f>
        <v>#DIV/0!</v>
      </c>
      <c r="J5" s="523"/>
      <c r="K5" s="524"/>
      <c r="L5" s="522" t="str">
        <f t="shared" si="0"/>
        <v>Petrol</v>
      </c>
      <c r="M5" s="522">
        <f t="shared" si="0"/>
        <v>0</v>
      </c>
      <c r="N5" s="1530" t="s">
        <v>69</v>
      </c>
    </row>
    <row r="6" spans="1:14">
      <c r="A6" s="142" t="s">
        <v>64</v>
      </c>
      <c r="B6" s="37" t="s">
        <v>62</v>
      </c>
      <c r="C6" s="37" t="s">
        <v>65</v>
      </c>
      <c r="D6" s="37" t="s">
        <v>66</v>
      </c>
      <c r="E6" s="32" t="s">
        <v>70</v>
      </c>
      <c r="F6" s="39">
        <f>Stationary!B7</f>
        <v>0</v>
      </c>
      <c r="G6" s="131" t="e">
        <f>Table15[[#This Row],[CO2mte]]/IF('GHG Emissons Breakdown'!$F$14="Market-Based",Summary!$F$126,IF('GHG Emissons Breakdown'!$F$14="Location-Based",Summary!$F$125,FALSE))</f>
        <v>#DIV/0!</v>
      </c>
      <c r="J6" s="523"/>
      <c r="K6" s="526" t="s">
        <v>71</v>
      </c>
      <c r="L6" s="522" t="str">
        <f t="shared" ref="L6:M10" si="1">E9</f>
        <v>Motor Petrol</v>
      </c>
      <c r="M6" s="522">
        <f t="shared" si="1"/>
        <v>0</v>
      </c>
      <c r="N6" s="1530" t="s">
        <v>69</v>
      </c>
    </row>
    <row r="7" spans="1:14">
      <c r="A7" s="142" t="s">
        <v>64</v>
      </c>
      <c r="B7" s="37" t="s">
        <v>62</v>
      </c>
      <c r="C7" s="37" t="s">
        <v>65</v>
      </c>
      <c r="D7" s="37" t="s">
        <v>66</v>
      </c>
      <c r="E7" s="32" t="s">
        <v>72</v>
      </c>
      <c r="F7" s="39">
        <f>Stationary!B8</f>
        <v>0</v>
      </c>
      <c r="G7" s="131" t="e">
        <f>Table15[[#This Row],[CO2mte]]/IF('GHG Emissons Breakdown'!$F$14="Market-Based",Summary!$F$126,IF('GHG Emissons Breakdown'!$F$14="Location-Based",Summary!$F$125,FALSE))</f>
        <v>#DIV/0!</v>
      </c>
      <c r="J7" s="523"/>
      <c r="K7" s="524"/>
      <c r="L7" s="522" t="str">
        <f t="shared" si="1"/>
        <v>Diesel Clear - Road Vehicles</v>
      </c>
      <c r="M7" s="522">
        <f t="shared" si="1"/>
        <v>0</v>
      </c>
      <c r="N7" s="1530" t="e">
        <f>(M7/M75)</f>
        <v>#DIV/0!</v>
      </c>
    </row>
    <row r="8" spans="1:14" ht="15.75">
      <c r="A8" s="142" t="s">
        <v>64</v>
      </c>
      <c r="B8" s="37" t="s">
        <v>62</v>
      </c>
      <c r="C8" s="37" t="s">
        <v>73</v>
      </c>
      <c r="D8" s="37" t="s">
        <v>66</v>
      </c>
      <c r="E8" s="33" t="s">
        <v>73</v>
      </c>
      <c r="F8" s="38">
        <f>SUM(F9:F13)</f>
        <v>0</v>
      </c>
      <c r="G8" s="94" t="e">
        <f>Table15[[#This Row],[CO2mte]]/IF('GHG Emissons Breakdown'!$F$14="Market-Based",Summary!$F$126,IF('GHG Emissons Breakdown'!$F$14="Location-Based",Summary!$F$125,FALSE))</f>
        <v>#DIV/0!</v>
      </c>
      <c r="J8" s="523"/>
      <c r="K8" s="524"/>
      <c r="L8" s="522" t="str">
        <f t="shared" si="1"/>
        <v>Diesel Red Dyed - Agricultural</v>
      </c>
      <c r="M8" s="522">
        <f t="shared" si="1"/>
        <v>0</v>
      </c>
      <c r="N8" s="1530" t="e">
        <f>(M8/M75)</f>
        <v>#DIV/0!</v>
      </c>
    </row>
    <row r="9" spans="1:14">
      <c r="A9" s="142" t="s">
        <v>64</v>
      </c>
      <c r="B9" s="37" t="s">
        <v>62</v>
      </c>
      <c r="C9" s="37" t="s">
        <v>73</v>
      </c>
      <c r="D9" s="37" t="s">
        <v>66</v>
      </c>
      <c r="E9" s="32" t="s">
        <v>74</v>
      </c>
      <c r="F9" s="39">
        <f>Mobile!B5</f>
        <v>0</v>
      </c>
      <c r="G9" s="131" t="e">
        <f>Table15[[#This Row],[CO2mte]]/IF('GHG Emissons Breakdown'!$F$14="Market-Based",Summary!$F$126,IF('GHG Emissons Breakdown'!$F$14="Location-Based",Summary!$F$125,FALSE))</f>
        <v>#DIV/0!</v>
      </c>
      <c r="J9" s="523"/>
      <c r="K9" s="524"/>
      <c r="L9" s="522" t="str">
        <f t="shared" si="1"/>
        <v>LPG</v>
      </c>
      <c r="M9" s="522">
        <f t="shared" si="1"/>
        <v>0</v>
      </c>
      <c r="N9" s="1530" t="s">
        <v>69</v>
      </c>
    </row>
    <row r="10" spans="1:14">
      <c r="A10" s="142" t="s">
        <v>64</v>
      </c>
      <c r="B10" s="37" t="s">
        <v>62</v>
      </c>
      <c r="C10" s="37" t="s">
        <v>73</v>
      </c>
      <c r="D10" s="37" t="s">
        <v>66</v>
      </c>
      <c r="E10" s="32" t="s">
        <v>75</v>
      </c>
      <c r="F10" s="39">
        <f>Mobile!B6</f>
        <v>0</v>
      </c>
      <c r="G10" s="131" t="e">
        <f>Table15[[#This Row],[CO2mte]]/IF('GHG Emissons Breakdown'!$F$14="Market-Based",Summary!$F$126,IF('GHG Emissons Breakdown'!$F$14="Location-Based",Summary!$F$125,FALSE))</f>
        <v>#DIV/0!</v>
      </c>
      <c r="J10" s="523"/>
      <c r="K10" s="524"/>
      <c r="L10" s="522" t="str">
        <f t="shared" si="1"/>
        <v>Aviation Petrol</v>
      </c>
      <c r="M10" s="522">
        <f t="shared" si="1"/>
        <v>0</v>
      </c>
      <c r="N10" s="1530" t="s">
        <v>69</v>
      </c>
    </row>
    <row r="11" spans="1:14">
      <c r="A11" s="142" t="s">
        <v>64</v>
      </c>
      <c r="B11" s="37" t="s">
        <v>62</v>
      </c>
      <c r="C11" s="37" t="s">
        <v>73</v>
      </c>
      <c r="D11" s="37" t="s">
        <v>66</v>
      </c>
      <c r="E11" s="32" t="s">
        <v>76</v>
      </c>
      <c r="F11" s="39">
        <f>Mobile!B7</f>
        <v>0</v>
      </c>
      <c r="G11" s="131" t="e">
        <f>Table15[[#This Row],[CO2mte]]/IF('GHG Emissons Breakdown'!$F$14="Market-Based",Summary!$F$126,IF('GHG Emissons Breakdown'!$F$14="Location-Based",Summary!$F$125,FALSE))</f>
        <v>#DIV/0!</v>
      </c>
      <c r="J11" s="523"/>
      <c r="K11" s="526" t="str">
        <f>E14</f>
        <v>Vineyard Practices</v>
      </c>
      <c r="L11" s="522" t="str">
        <f>E15</f>
        <v>Fertilizer Application</v>
      </c>
      <c r="M11" s="522">
        <f>F15</f>
        <v>0</v>
      </c>
      <c r="N11" s="1530" t="e">
        <f>M11/M75</f>
        <v>#DIV/0!</v>
      </c>
    </row>
    <row r="12" spans="1:14">
      <c r="A12" s="142" t="s">
        <v>64</v>
      </c>
      <c r="B12" s="37" t="s">
        <v>62</v>
      </c>
      <c r="C12" s="37" t="s">
        <v>73</v>
      </c>
      <c r="D12" s="37" t="s">
        <v>66</v>
      </c>
      <c r="E12" s="32" t="s">
        <v>68</v>
      </c>
      <c r="F12" s="39">
        <f>Mobile!B8</f>
        <v>0</v>
      </c>
      <c r="G12" s="131" t="e">
        <f>Table15[[#This Row],[CO2mte]]/IF('GHG Emissons Breakdown'!$F$14="Market-Based",Summary!$F$126,IF('GHG Emissons Breakdown'!$F$14="Location-Based",Summary!$F$125,FALSE))</f>
        <v>#DIV/0!</v>
      </c>
      <c r="J12" s="523"/>
      <c r="K12" s="524"/>
      <c r="L12" s="522" t="str">
        <f>E16</f>
        <v>Soil Emissions</v>
      </c>
      <c r="M12" s="522">
        <f>F16</f>
        <v>0</v>
      </c>
      <c r="N12" s="1530" t="e">
        <f>M12/M75</f>
        <v>#DIV/0!</v>
      </c>
    </row>
    <row r="13" spans="1:14">
      <c r="A13" s="142" t="s">
        <v>64</v>
      </c>
      <c r="B13" s="37" t="s">
        <v>62</v>
      </c>
      <c r="C13" s="37" t="s">
        <v>73</v>
      </c>
      <c r="D13" s="37" t="s">
        <v>66</v>
      </c>
      <c r="E13" s="32" t="s">
        <v>77</v>
      </c>
      <c r="F13" s="39">
        <f>Mobile!B9</f>
        <v>0</v>
      </c>
      <c r="G13" s="131" t="e">
        <f>Table15[[#This Row],[CO2mte]]/IF('GHG Emissons Breakdown'!$F$14="Market-Based",Summary!$F$126,IF('GHG Emissons Breakdown'!$F$14="Location-Based",Summary!$F$125,FALSE))</f>
        <v>#DIV/0!</v>
      </c>
      <c r="J13" s="523"/>
      <c r="K13" s="526" t="str">
        <f>E17</f>
        <v>Waste</v>
      </c>
      <c r="L13" s="522" t="str">
        <f>E18</f>
        <v>Onsite wastewater Treatment</v>
      </c>
      <c r="M13" s="522">
        <f>F18</f>
        <v>0</v>
      </c>
      <c r="N13" s="1530" t="e">
        <f>M13/M75</f>
        <v>#DIV/0!</v>
      </c>
    </row>
    <row r="14" spans="1:14" ht="15.75">
      <c r="A14" s="142" t="s">
        <v>64</v>
      </c>
      <c r="B14" s="37" t="s">
        <v>62</v>
      </c>
      <c r="C14" s="37" t="s">
        <v>78</v>
      </c>
      <c r="D14" s="37" t="s">
        <v>66</v>
      </c>
      <c r="E14" s="33" t="s">
        <v>78</v>
      </c>
      <c r="F14" s="40">
        <f>SUM(F15:F16)</f>
        <v>0</v>
      </c>
      <c r="G14" s="94" t="e">
        <f>Table15[[#This Row],[CO2mte]]/IF('GHG Emissons Breakdown'!$F$14="Market-Based",Summary!$F$126,IF('GHG Emissons Breakdown'!$F$14="Location-Based",Summary!$F$125,FALSE))</f>
        <v>#DIV/0!</v>
      </c>
      <c r="J14" s="523"/>
      <c r="K14" s="526" t="s">
        <v>79</v>
      </c>
      <c r="L14" s="525" t="s">
        <v>80</v>
      </c>
      <c r="M14" s="522">
        <f>F22</f>
        <v>0</v>
      </c>
      <c r="N14" s="1530" t="e">
        <f t="shared" ref="N14" si="2">M14/M78</f>
        <v>#DIV/0!</v>
      </c>
    </row>
    <row r="15" spans="1:14">
      <c r="A15" s="142" t="s">
        <v>64</v>
      </c>
      <c r="B15" s="37" t="s">
        <v>62</v>
      </c>
      <c r="C15" s="37" t="s">
        <v>78</v>
      </c>
      <c r="D15" s="37" t="s">
        <v>66</v>
      </c>
      <c r="E15" s="32" t="s">
        <v>81</v>
      </c>
      <c r="F15" s="39">
        <f>'Soil and Fertilizer'!B5</f>
        <v>0</v>
      </c>
      <c r="G15" s="131" t="e">
        <f>Table15[[#This Row],[CO2mte]]/IF('GHG Emissons Breakdown'!$F$14="Market-Based",Summary!$F$126,IF('GHG Emissons Breakdown'!$F$14="Location-Based",Summary!$F$125,FALSE))</f>
        <v>#DIV/0!</v>
      </c>
      <c r="J15" s="523"/>
      <c r="K15" s="526" t="s">
        <v>82</v>
      </c>
      <c r="L15" s="525" t="s">
        <v>83</v>
      </c>
      <c r="M15" s="522">
        <f>F23</f>
        <v>0</v>
      </c>
      <c r="N15" s="1530" t="s">
        <v>69</v>
      </c>
    </row>
    <row r="16" spans="1:14" ht="18">
      <c r="A16" s="142" t="s">
        <v>64</v>
      </c>
      <c r="B16" s="37" t="s">
        <v>62</v>
      </c>
      <c r="C16" s="37" t="s">
        <v>78</v>
      </c>
      <c r="D16" s="37" t="s">
        <v>66</v>
      </c>
      <c r="E16" s="32" t="s">
        <v>84</v>
      </c>
      <c r="F16" s="39">
        <f>'Soil and Fertilizer'!B6</f>
        <v>0</v>
      </c>
      <c r="G16" s="131" t="e">
        <f>Table15[[#This Row],[CO2mte]]/IF('GHG Emissons Breakdown'!$F$14="Market-Based",Summary!$F$126,IF('GHG Emissons Breakdown'!$F$14="Location-Based",Summary!$F$125,FALSE))</f>
        <v>#DIV/0!</v>
      </c>
      <c r="J16" s="523"/>
      <c r="K16" s="520" t="s">
        <v>85</v>
      </c>
      <c r="L16" s="525" t="str">
        <f>E24</f>
        <v>CO2 Used in Winemaking</v>
      </c>
      <c r="M16" s="522">
        <f>F24</f>
        <v>0</v>
      </c>
      <c r="N16" s="1530" t="s">
        <v>69</v>
      </c>
    </row>
    <row r="17" spans="1:14" ht="15.75">
      <c r="A17" s="142" t="s">
        <v>64</v>
      </c>
      <c r="B17" s="37" t="s">
        <v>62</v>
      </c>
      <c r="C17" s="37" t="s">
        <v>86</v>
      </c>
      <c r="D17" s="37" t="s">
        <v>66</v>
      </c>
      <c r="E17" s="33" t="s">
        <v>87</v>
      </c>
      <c r="F17" s="38">
        <f>SUM(F18:F21)</f>
        <v>0</v>
      </c>
      <c r="G17" s="94" t="e">
        <f>Table15[[#This Row],[CO2mte]]/IF('GHG Emissons Breakdown'!$F$14="Market-Based",Summary!$F$126,IF('GHG Emissons Breakdown'!$F$14="Location-Based",Summary!$F$125,FALSE))</f>
        <v>#DIV/0!</v>
      </c>
      <c r="J17" s="523"/>
      <c r="K17" s="527" t="s">
        <v>88</v>
      </c>
      <c r="L17" s="525" t="str">
        <f>E25</f>
        <v>Land Conversion</v>
      </c>
      <c r="M17" s="522">
        <f>F25</f>
        <v>0</v>
      </c>
      <c r="N17" s="1530" t="s">
        <v>69</v>
      </c>
    </row>
    <row r="18" spans="1:14">
      <c r="A18" s="142" t="s">
        <v>64</v>
      </c>
      <c r="B18" s="37" t="s">
        <v>62</v>
      </c>
      <c r="C18" s="37" t="s">
        <v>86</v>
      </c>
      <c r="D18" s="37" t="s">
        <v>66</v>
      </c>
      <c r="E18" s="1198" t="str">
        <f>'Onsite Waste'!A5</f>
        <v>Onsite wastewater Treatment</v>
      </c>
      <c r="F18" s="39">
        <f>'Onsite Waste'!B5</f>
        <v>0</v>
      </c>
      <c r="G18" s="131" t="e">
        <f>Table15[[#This Row],[CO2mte]]/IF('GHG Emissons Breakdown'!$F$14="Market-Based",Summary!$F$126,IF('GHG Emissons Breakdown'!$F$14="Location-Based",Summary!$F$125,FALSE))</f>
        <v>#DIV/0!</v>
      </c>
      <c r="J18" s="528" t="s">
        <v>89</v>
      </c>
      <c r="K18" s="529" t="s">
        <v>90</v>
      </c>
      <c r="L18" s="530" t="s">
        <v>91</v>
      </c>
      <c r="M18" s="531">
        <f>F28</f>
        <v>0</v>
      </c>
      <c r="N18" s="1530" t="e">
        <f>M18/M75</f>
        <v>#DIV/0!</v>
      </c>
    </row>
    <row r="19" spans="1:14">
      <c r="A19" s="142"/>
      <c r="B19" s="37" t="s">
        <v>62</v>
      </c>
      <c r="C19" s="37" t="s">
        <v>86</v>
      </c>
      <c r="D19" s="37" t="s">
        <v>66</v>
      </c>
      <c r="E19" s="32" t="str">
        <f>'Onsite Waste'!A6</f>
        <v>Recycling</v>
      </c>
      <c r="F19" s="39">
        <f>'Onsite Waste'!B6</f>
        <v>0</v>
      </c>
      <c r="G19" s="131" t="e">
        <f>Table15[[#This Row],[CO2mte]]/IF('GHG Emissons Breakdown'!$F$14="Market-Based",Summary!$F$126,IF('GHG Emissons Breakdown'!$F$14="Location-Based",Summary!$F$125,FALSE))</f>
        <v>#DIV/0!</v>
      </c>
      <c r="J19" s="532" t="s">
        <v>92</v>
      </c>
      <c r="K19" s="29" t="s">
        <v>93</v>
      </c>
      <c r="L19" s="533" t="str">
        <f>E31</f>
        <v>OPEX</v>
      </c>
      <c r="M19" s="534">
        <f>F31</f>
        <v>0</v>
      </c>
      <c r="N19" s="1530" t="s">
        <v>69</v>
      </c>
    </row>
    <row r="20" spans="1:14">
      <c r="A20" s="142"/>
      <c r="B20" s="37" t="s">
        <v>62</v>
      </c>
      <c r="C20" s="37" t="s">
        <v>86</v>
      </c>
      <c r="D20" s="37" t="s">
        <v>66</v>
      </c>
      <c r="E20" s="32" t="str">
        <f>'Onsite Waste'!A7</f>
        <v>Composting/Mixed Organics</v>
      </c>
      <c r="F20" s="39">
        <f>'Onsite Waste'!B7</f>
        <v>0</v>
      </c>
      <c r="G20" s="131" t="e">
        <f>Table15[[#This Row],[CO2mte]]/IF('GHG Emissons Breakdown'!$F$14="Market-Based",Summary!$F$126,IF('GHG Emissons Breakdown'!$F$14="Location-Based",Summary!$F$125,FALSE))</f>
        <v>#DIV/0!</v>
      </c>
      <c r="J20" s="535"/>
      <c r="K20" s="29" t="s">
        <v>94</v>
      </c>
      <c r="L20" s="536" t="str">
        <f t="shared" ref="L20:L34" si="3">E33</f>
        <v>Bottles</v>
      </c>
      <c r="M20" s="534">
        <f t="shared" ref="M20:M34" si="4">F33</f>
        <v>0</v>
      </c>
      <c r="N20" s="1530" t="e">
        <f>M20/M75</f>
        <v>#DIV/0!</v>
      </c>
    </row>
    <row r="21" spans="1:14">
      <c r="A21" s="142"/>
      <c r="B21" s="37" t="s">
        <v>62</v>
      </c>
      <c r="C21" s="37" t="s">
        <v>86</v>
      </c>
      <c r="D21" s="37" t="s">
        <v>66</v>
      </c>
      <c r="E21" s="32" t="str">
        <f>'Onsite Waste'!A8</f>
        <v>All Landfilled Waste</v>
      </c>
      <c r="F21" s="39">
        <f>'Onsite Waste'!B8</f>
        <v>0</v>
      </c>
      <c r="G21" s="131" t="e">
        <f>Table15[[#This Row],[CO2mte]]/IF('GHG Emissons Breakdown'!$F$14="Market-Based",Summary!$F$126,IF('GHG Emissons Breakdown'!$F$14="Location-Based",Summary!$F$125,FALSE))</f>
        <v>#DIV/0!</v>
      </c>
      <c r="J21" s="535"/>
      <c r="K21" s="537"/>
      <c r="L21" s="533" t="str">
        <f t="shared" si="3"/>
        <v>Capsules</v>
      </c>
      <c r="M21" s="534">
        <f t="shared" si="4"/>
        <v>0</v>
      </c>
      <c r="N21" s="1530" t="e">
        <f>M21/M75</f>
        <v>#DIV/0!</v>
      </c>
    </row>
    <row r="22" spans="1:14" ht="18" customHeight="1">
      <c r="A22" s="142" t="s">
        <v>64</v>
      </c>
      <c r="B22" s="37" t="s">
        <v>62</v>
      </c>
      <c r="C22" s="37" t="s">
        <v>80</v>
      </c>
      <c r="D22" s="37" t="s">
        <v>66</v>
      </c>
      <c r="E22" s="33" t="s">
        <v>80</v>
      </c>
      <c r="F22" s="38">
        <f>'Fugitive (refrigerants)'!B4</f>
        <v>0</v>
      </c>
      <c r="G22" s="94" t="e">
        <f>Table15[[#This Row],[CO2mte]]/IF('GHG Emissons Breakdown'!$F$14="Market-Based",Summary!$F$126,IF('GHG Emissons Breakdown'!$F$14="Location-Based",Summary!$F$125,FALSE))</f>
        <v>#DIV/0!</v>
      </c>
      <c r="J22" s="535"/>
      <c r="K22" s="537"/>
      <c r="L22" s="533" t="str">
        <f t="shared" si="3"/>
        <v>Cork</v>
      </c>
      <c r="M22" s="534">
        <f t="shared" si="4"/>
        <v>0</v>
      </c>
      <c r="N22" s="1530" t="e">
        <f>M22/M75</f>
        <v>#DIV/0!</v>
      </c>
    </row>
    <row r="23" spans="1:14" ht="15.75">
      <c r="A23" s="142" t="s">
        <v>64</v>
      </c>
      <c r="B23" s="110" t="s">
        <v>62</v>
      </c>
      <c r="C23" s="110" t="s">
        <v>95</v>
      </c>
      <c r="D23" s="37" t="s">
        <v>66</v>
      </c>
      <c r="E23" s="111" t="s">
        <v>83</v>
      </c>
      <c r="F23" s="112">
        <f>'Biomass Burning'!C5</f>
        <v>0</v>
      </c>
      <c r="G23" s="94" t="e">
        <f>Table15[[#This Row],[CO2mte]]/IF('GHG Emissons Breakdown'!$F$14="Market-Based",Summary!$F$126,IF('GHG Emissons Breakdown'!$F$14="Location-Based",Summary!$F$125,FALSE))</f>
        <v>#DIV/0!</v>
      </c>
      <c r="J23" s="535"/>
      <c r="K23" s="537"/>
      <c r="L23" s="533" t="str">
        <f t="shared" si="3"/>
        <v>Knock Down Boxes</v>
      </c>
      <c r="M23" s="534">
        <f t="shared" si="4"/>
        <v>0</v>
      </c>
      <c r="N23" s="1530" t="e">
        <f>M23/M75</f>
        <v>#DIV/0!</v>
      </c>
    </row>
    <row r="24" spans="1:14" ht="15.75">
      <c r="A24" s="142" t="s">
        <v>64</v>
      </c>
      <c r="B24" s="37" t="s">
        <v>62</v>
      </c>
      <c r="C24" s="37" t="s">
        <v>96</v>
      </c>
      <c r="D24" s="37" t="s">
        <v>66</v>
      </c>
      <c r="E24" s="124" t="s">
        <v>97</v>
      </c>
      <c r="F24" s="38">
        <f>'Fugitive (refrigerants)'!B5</f>
        <v>0</v>
      </c>
      <c r="G24" s="94" t="e">
        <f>Table15[[#This Row],[CO2mte]]/IF('GHG Emissons Breakdown'!$F$14="Market-Based",Summary!$F$126,IF('GHG Emissons Breakdown'!$F$14="Location-Based",Summary!$F$125,FALSE))</f>
        <v>#DIV/0!</v>
      </c>
      <c r="J24" s="535"/>
      <c r="K24" s="537"/>
      <c r="L24" s="533" t="str">
        <f t="shared" si="3"/>
        <v>Box Partitions</v>
      </c>
      <c r="M24" s="534">
        <f t="shared" si="4"/>
        <v>0</v>
      </c>
      <c r="N24" s="1530" t="e">
        <f>M24/M75</f>
        <v>#DIV/0!</v>
      </c>
    </row>
    <row r="25" spans="1:14" ht="15.75">
      <c r="A25" s="142" t="s">
        <v>64</v>
      </c>
      <c r="B25" s="110" t="s">
        <v>62</v>
      </c>
      <c r="C25" s="110" t="s">
        <v>88</v>
      </c>
      <c r="D25" s="37" t="s">
        <v>66</v>
      </c>
      <c r="E25" s="111" t="s">
        <v>88</v>
      </c>
      <c r="F25" s="112">
        <f>'Land Conversion'!B4</f>
        <v>0</v>
      </c>
      <c r="G25" s="94" t="e">
        <f>Table15[[#This Row],[CO2mte]]/IF('GHG Emissons Breakdown'!$F$14="Market-Based",Summary!$F$126,IF('GHG Emissons Breakdown'!$F$14="Location-Based",Summary!$F$125,FALSE))</f>
        <v>#DIV/0!</v>
      </c>
      <c r="J25" s="535"/>
      <c r="K25" s="537"/>
      <c r="L25" s="533" t="str">
        <f t="shared" si="3"/>
        <v>Labels</v>
      </c>
      <c r="M25" s="534">
        <f t="shared" si="4"/>
        <v>0</v>
      </c>
      <c r="N25" s="1530" t="e">
        <f>M25/M75</f>
        <v>#DIV/0!</v>
      </c>
    </row>
    <row r="26" spans="1:14" ht="18.75">
      <c r="B26" s="108" t="s">
        <v>98</v>
      </c>
      <c r="C26" s="104"/>
      <c r="D26" s="104"/>
      <c r="E26" s="105"/>
      <c r="F26" s="106"/>
      <c r="G26" s="50"/>
      <c r="J26" s="535"/>
      <c r="K26" s="537"/>
      <c r="L26" s="533" t="str">
        <f t="shared" si="3"/>
        <v>Pallets</v>
      </c>
      <c r="M26" s="534">
        <f t="shared" si="4"/>
        <v>0</v>
      </c>
      <c r="N26" s="1530" t="e">
        <f>M26/M75</f>
        <v>#DIV/0!</v>
      </c>
    </row>
    <row r="27" spans="1:14" ht="15.75">
      <c r="A27" s="142" t="s">
        <v>64</v>
      </c>
      <c r="B27" s="113" t="s">
        <v>98</v>
      </c>
      <c r="C27" s="113" t="s">
        <v>90</v>
      </c>
      <c r="D27" s="113" t="s">
        <v>99</v>
      </c>
      <c r="E27" s="114" t="s">
        <v>100</v>
      </c>
      <c r="F27" s="126">
        <f>Electricity!B4</f>
        <v>0</v>
      </c>
      <c r="G27" s="115" t="e">
        <f>Table15[[#This Row],[CO2mte]]/$F$125</f>
        <v>#DIV/0!</v>
      </c>
      <c r="J27" s="535"/>
      <c r="K27" s="537"/>
      <c r="L27" s="533" t="str">
        <f t="shared" si="3"/>
        <v>Slip Sheets</v>
      </c>
      <c r="M27" s="534">
        <f t="shared" si="4"/>
        <v>0</v>
      </c>
      <c r="N27" s="1530" t="s">
        <v>69</v>
      </c>
    </row>
    <row r="28" spans="1:14" ht="15.75">
      <c r="A28" s="142" t="s">
        <v>64</v>
      </c>
      <c r="B28" s="37" t="s">
        <v>98</v>
      </c>
      <c r="C28" s="37" t="s">
        <v>90</v>
      </c>
      <c r="D28" s="37" t="s">
        <v>99</v>
      </c>
      <c r="E28" s="41" t="s">
        <v>101</v>
      </c>
      <c r="F28" s="127">
        <f>Electricity!B6</f>
        <v>0</v>
      </c>
      <c r="G28" s="50" t="e">
        <f>Table15[[#This Row],[CO2mte]]/$F$126</f>
        <v>#DIV/0!</v>
      </c>
      <c r="J28" s="538"/>
      <c r="K28" s="537"/>
      <c r="L28" s="533" t="str">
        <f t="shared" si="3"/>
        <v>Screw Caps</v>
      </c>
      <c r="M28" s="534">
        <f t="shared" si="4"/>
        <v>0</v>
      </c>
      <c r="N28" s="1530" t="e">
        <f>(M28/M75)</f>
        <v>#DIV/0!</v>
      </c>
    </row>
    <row r="29" spans="1:14" ht="18.75">
      <c r="B29" s="109" t="s">
        <v>92</v>
      </c>
      <c r="C29" s="96"/>
      <c r="D29" s="96"/>
      <c r="E29" s="97"/>
      <c r="F29" s="98"/>
      <c r="G29" s="99"/>
      <c r="J29" s="538"/>
      <c r="K29" s="537"/>
      <c r="L29" s="533" t="str">
        <f t="shared" si="3"/>
        <v>Stickers</v>
      </c>
      <c r="M29" s="534">
        <f t="shared" si="4"/>
        <v>0</v>
      </c>
      <c r="N29" s="1530" t="s">
        <v>69</v>
      </c>
    </row>
    <row r="30" spans="1:14" ht="18.75">
      <c r="B30" s="109" t="s">
        <v>102</v>
      </c>
      <c r="C30" s="100" t="s">
        <v>66</v>
      </c>
      <c r="D30" s="100"/>
      <c r="E30" s="123" t="s">
        <v>103</v>
      </c>
      <c r="F30" s="98"/>
      <c r="G30" s="99"/>
      <c r="J30" s="538"/>
      <c r="K30" s="537"/>
      <c r="L30" s="533" t="str">
        <f t="shared" si="3"/>
        <v>Tissue Paper</v>
      </c>
      <c r="M30" s="534">
        <f t="shared" si="4"/>
        <v>0</v>
      </c>
      <c r="N30" s="1530" t="s">
        <v>69</v>
      </c>
    </row>
    <row r="31" spans="1:14" ht="15.75">
      <c r="A31" s="141" t="s">
        <v>104</v>
      </c>
      <c r="B31" s="117" t="s">
        <v>102</v>
      </c>
      <c r="C31" s="117" t="s">
        <v>66</v>
      </c>
      <c r="D31" s="117" t="s">
        <v>105</v>
      </c>
      <c r="E31" s="116" t="s">
        <v>93</v>
      </c>
      <c r="F31" s="121">
        <f>'Purchased Products'!B20</f>
        <v>0</v>
      </c>
      <c r="G31" s="128" t="e">
        <f>Table15[[#This Row],[CO2mte]]/IF('GHG Emissons Breakdown'!$F$14="Market-Based",Summary!$F$126,IF('GHG Emissons Breakdown'!$F$14="Location-Based",Summary!$F$125,FALSE))</f>
        <v>#DIV/0!</v>
      </c>
      <c r="J31" s="538"/>
      <c r="K31" s="537"/>
      <c r="L31" s="533" t="str">
        <f t="shared" si="3"/>
        <v>Wooden Box</v>
      </c>
      <c r="M31" s="534">
        <f t="shared" si="4"/>
        <v>0</v>
      </c>
      <c r="N31" s="1530" t="s">
        <v>69</v>
      </c>
    </row>
    <row r="32" spans="1:14" ht="15.75">
      <c r="A32" s="142" t="s">
        <v>64</v>
      </c>
      <c r="B32" s="118" t="s">
        <v>102</v>
      </c>
      <c r="C32" s="118" t="s">
        <v>66</v>
      </c>
      <c r="D32" s="118" t="s">
        <v>105</v>
      </c>
      <c r="E32" s="29" t="s">
        <v>94</v>
      </c>
      <c r="F32" s="119">
        <f>SUM(F33:F47)</f>
        <v>0</v>
      </c>
      <c r="G32" s="132" t="e">
        <f>Table15[[#This Row],[CO2mte]]/IF('GHG Emissons Breakdown'!$F$14="Market-Based",Summary!$F$126,IF('GHG Emissons Breakdown'!$F$14="Location-Based",Summary!$F$125,FALSE))</f>
        <v>#DIV/0!</v>
      </c>
      <c r="J32" s="538"/>
      <c r="K32" s="537"/>
      <c r="L32" s="533" t="str">
        <f t="shared" si="3"/>
        <v>Neckers</v>
      </c>
      <c r="M32" s="534">
        <f t="shared" si="4"/>
        <v>0</v>
      </c>
      <c r="N32" s="1530" t="s">
        <v>69</v>
      </c>
    </row>
    <row r="33" spans="1:14" ht="15.75">
      <c r="A33" s="142" t="s">
        <v>64</v>
      </c>
      <c r="B33" s="117" t="s">
        <v>102</v>
      </c>
      <c r="C33" s="117" t="s">
        <v>66</v>
      </c>
      <c r="D33" s="117" t="s">
        <v>105</v>
      </c>
      <c r="E33" s="30" t="s">
        <v>106</v>
      </c>
      <c r="F33" s="559">
        <f>Packaging!B5</f>
        <v>0</v>
      </c>
      <c r="G33" s="129" t="e">
        <f>Table15[[#This Row],[CO2mte]]/IF('GHG Emissons Breakdown'!$F$14="Market-Based",Summary!$F$126,IF('GHG Emissons Breakdown'!$F$14="Location-Based",Summary!$F$125,FALSE))</f>
        <v>#DIV/0!</v>
      </c>
      <c r="J33" s="538"/>
      <c r="K33" s="537"/>
      <c r="L33" s="533" t="str">
        <f t="shared" si="3"/>
        <v>Wax</v>
      </c>
      <c r="M33" s="534">
        <f t="shared" si="4"/>
        <v>0</v>
      </c>
      <c r="N33" s="1530" t="s">
        <v>69</v>
      </c>
    </row>
    <row r="34" spans="1:14" ht="15.75">
      <c r="A34" s="142" t="s">
        <v>64</v>
      </c>
      <c r="B34" s="118" t="s">
        <v>102</v>
      </c>
      <c r="C34" s="118" t="s">
        <v>66</v>
      </c>
      <c r="D34" s="118" t="s">
        <v>105</v>
      </c>
      <c r="E34" s="30" t="s">
        <v>107</v>
      </c>
      <c r="F34" s="560">
        <f>Packaging!B6</f>
        <v>0</v>
      </c>
      <c r="G34" s="130" t="e">
        <f>Table15[[#This Row],[CO2mte]]/IF('GHG Emissons Breakdown'!$F$14="Market-Based",Summary!$F$126,IF('GHG Emissons Breakdown'!$F$14="Location-Based",Summary!$F$125,FALSE))</f>
        <v>#DIV/0!</v>
      </c>
      <c r="J34" s="538"/>
      <c r="K34" s="537"/>
      <c r="L34" s="533" t="str">
        <f t="shared" si="3"/>
        <v>Wine bag in box</v>
      </c>
      <c r="M34" s="534">
        <f t="shared" si="4"/>
        <v>0</v>
      </c>
      <c r="N34" s="1530" t="e">
        <f>M34/M75</f>
        <v>#DIV/0!</v>
      </c>
    </row>
    <row r="35" spans="1:14" ht="15.75">
      <c r="A35" s="142" t="s">
        <v>64</v>
      </c>
      <c r="B35" s="117" t="s">
        <v>102</v>
      </c>
      <c r="C35" s="117" t="s">
        <v>66</v>
      </c>
      <c r="D35" s="117" t="s">
        <v>105</v>
      </c>
      <c r="E35" s="30" t="s">
        <v>108</v>
      </c>
      <c r="F35" s="559">
        <f>Packaging!B7</f>
        <v>0</v>
      </c>
      <c r="G35" s="129" t="e">
        <f>Table15[[#This Row],[CO2mte]]/IF('GHG Emissons Breakdown'!$F$14="Market-Based",Summary!$F$126,IF('GHG Emissons Breakdown'!$F$14="Location-Based",Summary!$F$125,FALSE))</f>
        <v>#DIV/0!</v>
      </c>
      <c r="J35" s="538"/>
      <c r="K35" s="31" t="s">
        <v>109</v>
      </c>
      <c r="L35" s="533" t="str">
        <f t="shared" ref="L35:L46" si="5">E49</f>
        <v>Purchased Grapes</v>
      </c>
      <c r="M35" s="539">
        <f t="shared" ref="M35:M46" si="6">F49</f>
        <v>0</v>
      </c>
      <c r="N35" s="1530" t="e">
        <f>M35/M75</f>
        <v>#DIV/0!</v>
      </c>
    </row>
    <row r="36" spans="1:14" ht="15.75">
      <c r="A36" s="142" t="s">
        <v>64</v>
      </c>
      <c r="B36" s="118" t="s">
        <v>102</v>
      </c>
      <c r="C36" s="118" t="s">
        <v>66</v>
      </c>
      <c r="D36" s="118" t="s">
        <v>105</v>
      </c>
      <c r="E36" s="30" t="s">
        <v>110</v>
      </c>
      <c r="F36" s="560">
        <f>Packaging!B8</f>
        <v>0</v>
      </c>
      <c r="G36" s="130" t="e">
        <f>Table15[[#This Row],[CO2mte]]/IF('GHG Emissons Breakdown'!$F$14="Market-Based",Summary!$F$126,IF('GHG Emissons Breakdown'!$F$14="Location-Based",Summary!$F$125,FALSE))</f>
        <v>#DIV/0!</v>
      </c>
      <c r="J36" s="538"/>
      <c r="K36" s="537"/>
      <c r="L36" s="533" t="str">
        <f t="shared" si="5"/>
        <v>Purchased Wine</v>
      </c>
      <c r="M36" s="539">
        <f t="shared" si="6"/>
        <v>0</v>
      </c>
      <c r="N36" s="1530" t="e">
        <f>M36/M75</f>
        <v>#DIV/0!</v>
      </c>
    </row>
    <row r="37" spans="1:14" ht="15.75">
      <c r="A37" s="142" t="s">
        <v>64</v>
      </c>
      <c r="B37" s="117" t="s">
        <v>102</v>
      </c>
      <c r="C37" s="117" t="s">
        <v>66</v>
      </c>
      <c r="D37" s="117" t="s">
        <v>105</v>
      </c>
      <c r="E37" s="30" t="s">
        <v>111</v>
      </c>
      <c r="F37" s="559">
        <f>Packaging!B9</f>
        <v>0</v>
      </c>
      <c r="G37" s="129" t="e">
        <f>Table15[[#This Row],[CO2mte]]/IF('GHG Emissons Breakdown'!$F$14="Market-Based",Summary!$F$126,IF('GHG Emissons Breakdown'!$F$14="Location-Based",Summary!$F$125,FALSE))</f>
        <v>#DIV/0!</v>
      </c>
      <c r="J37" s="538"/>
      <c r="K37" s="537"/>
      <c r="L37" s="533" t="str">
        <f t="shared" si="5"/>
        <v>Crop Protection Products</v>
      </c>
      <c r="M37" s="539">
        <f t="shared" si="6"/>
        <v>0</v>
      </c>
      <c r="N37" s="1530" t="e">
        <f>M37/M75</f>
        <v>#DIV/0!</v>
      </c>
    </row>
    <row r="38" spans="1:14" ht="15.75">
      <c r="A38" s="142" t="s">
        <v>64</v>
      </c>
      <c r="B38" s="118" t="s">
        <v>102</v>
      </c>
      <c r="C38" s="118" t="s">
        <v>66</v>
      </c>
      <c r="D38" s="118" t="s">
        <v>105</v>
      </c>
      <c r="E38" s="30" t="s">
        <v>112</v>
      </c>
      <c r="F38" s="560">
        <f>Packaging!B10</f>
        <v>0</v>
      </c>
      <c r="G38" s="130" t="e">
        <f>Table15[[#This Row],[CO2mte]]/IF('GHG Emissons Breakdown'!$F$14="Market-Based",Summary!$F$126,IF('GHG Emissons Breakdown'!$F$14="Location-Based",Summary!$F$125,FALSE))</f>
        <v>#DIV/0!</v>
      </c>
      <c r="J38" s="538"/>
      <c r="K38" s="537"/>
      <c r="L38" s="533" t="str">
        <f t="shared" si="5"/>
        <v>Grape Vine Trellising</v>
      </c>
      <c r="M38" s="539">
        <f t="shared" si="6"/>
        <v>0</v>
      </c>
      <c r="N38" s="1530" t="e">
        <f>M38/M75</f>
        <v>#DIV/0!</v>
      </c>
    </row>
    <row r="39" spans="1:14" ht="15.75">
      <c r="A39" s="142" t="s">
        <v>64</v>
      </c>
      <c r="B39" s="117" t="s">
        <v>102</v>
      </c>
      <c r="C39" s="117" t="s">
        <v>66</v>
      </c>
      <c r="D39" s="117" t="s">
        <v>105</v>
      </c>
      <c r="E39" s="30" t="s">
        <v>113</v>
      </c>
      <c r="F39" s="559">
        <f>Packaging!B11</f>
        <v>0</v>
      </c>
      <c r="G39" s="129" t="e">
        <f>Table15[[#This Row],[CO2mte]]/IF('GHG Emissons Breakdown'!$F$14="Market-Based",Summary!$F$126,IF('GHG Emissons Breakdown'!$F$14="Location-Based",Summary!$F$125,FALSE))</f>
        <v>#DIV/0!</v>
      </c>
      <c r="J39" s="538"/>
      <c r="K39" s="537"/>
      <c r="L39" s="533" t="str">
        <f t="shared" si="5"/>
        <v>Biomass Treatment</v>
      </c>
      <c r="M39" s="539">
        <f t="shared" si="6"/>
        <v>0</v>
      </c>
      <c r="N39" s="1530" t="s">
        <v>69</v>
      </c>
    </row>
    <row r="40" spans="1:14" ht="15.75">
      <c r="A40" s="142" t="s">
        <v>64</v>
      </c>
      <c r="B40" s="118" t="s">
        <v>102</v>
      </c>
      <c r="C40" s="118" t="s">
        <v>66</v>
      </c>
      <c r="D40" s="118" t="s">
        <v>105</v>
      </c>
      <c r="E40" s="30" t="s">
        <v>114</v>
      </c>
      <c r="F40" s="560">
        <f>Packaging!B12</f>
        <v>0</v>
      </c>
      <c r="G40" s="130" t="e">
        <f>Table15[[#This Row],[CO2mte]]/IF('GHG Emissons Breakdown'!$F$14="Market-Based",Summary!$F$126,IF('GHG Emissons Breakdown'!$F$14="Location-Based",Summary!$F$125,FALSE))</f>
        <v>#DIV/0!</v>
      </c>
      <c r="J40" s="538"/>
      <c r="K40" s="537"/>
      <c r="L40" s="533" t="str">
        <f t="shared" si="5"/>
        <v>Purchased Municipal Water</v>
      </c>
      <c r="M40" s="539">
        <f t="shared" si="6"/>
        <v>0</v>
      </c>
      <c r="N40" s="1530" t="s">
        <v>69</v>
      </c>
    </row>
    <row r="41" spans="1:14" ht="15.75">
      <c r="A41" s="142" t="s">
        <v>64</v>
      </c>
      <c r="B41" s="117" t="s">
        <v>102</v>
      </c>
      <c r="C41" s="117" t="s">
        <v>66</v>
      </c>
      <c r="D41" s="117" t="s">
        <v>105</v>
      </c>
      <c r="E41" s="30" t="s">
        <v>115</v>
      </c>
      <c r="F41" s="559">
        <f>Packaging!B13</f>
        <v>0</v>
      </c>
      <c r="G41" s="129" t="e">
        <f>Table15[[#This Row],[CO2mte]]/IF('GHG Emissons Breakdown'!$F$14="Market-Based",Summary!$F$126,IF('GHG Emissons Breakdown'!$F$14="Location-Based",Summary!$F$125,FALSE))</f>
        <v>#DIV/0!</v>
      </c>
      <c r="J41" s="538"/>
      <c r="K41" s="537"/>
      <c r="L41" s="533" t="str">
        <f t="shared" si="5"/>
        <v>Winemaking Gases</v>
      </c>
      <c r="M41" s="539">
        <f t="shared" si="6"/>
        <v>0</v>
      </c>
      <c r="N41" s="1530" t="e">
        <f>(M41/M75)</f>
        <v>#DIV/0!</v>
      </c>
    </row>
    <row r="42" spans="1:14" ht="15.75">
      <c r="A42" s="142" t="s">
        <v>64</v>
      </c>
      <c r="B42" s="118" t="s">
        <v>102</v>
      </c>
      <c r="C42" s="118" t="s">
        <v>66</v>
      </c>
      <c r="D42" s="118" t="s">
        <v>105</v>
      </c>
      <c r="E42" s="30" t="s">
        <v>116</v>
      </c>
      <c r="F42" s="560">
        <f>Packaging!B14</f>
        <v>0</v>
      </c>
      <c r="G42" s="130" t="e">
        <f>Table15[[#This Row],[CO2mte]]/IF('GHG Emissons Breakdown'!$F$14="Market-Based",Summary!$F$126,IF('GHG Emissons Breakdown'!$F$14="Location-Based",Summary!$F$125,FALSE))</f>
        <v>#DIV/0!</v>
      </c>
      <c r="J42" s="538"/>
      <c r="K42" s="537"/>
      <c r="L42" s="533" t="str">
        <f t="shared" si="5"/>
        <v>Winemaking Products</v>
      </c>
      <c r="M42" s="539">
        <f t="shared" si="6"/>
        <v>0</v>
      </c>
      <c r="N42" s="1530" t="e">
        <f>(M42/M75)</f>
        <v>#DIV/0!</v>
      </c>
    </row>
    <row r="43" spans="1:14" ht="15.75">
      <c r="A43" s="142" t="s">
        <v>64</v>
      </c>
      <c r="B43" s="117" t="s">
        <v>102</v>
      </c>
      <c r="C43" s="117" t="s">
        <v>66</v>
      </c>
      <c r="D43" s="117" t="s">
        <v>105</v>
      </c>
      <c r="E43" s="30" t="s">
        <v>117</v>
      </c>
      <c r="F43" s="559">
        <f>Packaging!B15</f>
        <v>0</v>
      </c>
      <c r="G43" s="129" t="e">
        <f>Table15[[#This Row],[CO2mte]]/IF('GHG Emissons Breakdown'!$F$14="Market-Based",Summary!$F$126,IF('GHG Emissons Breakdown'!$F$14="Location-Based",Summary!$F$125,FALSE))</f>
        <v>#DIV/0!</v>
      </c>
      <c r="J43" s="538"/>
      <c r="K43" s="537"/>
      <c r="L43" s="533" t="str">
        <f t="shared" si="5"/>
        <v>Water Purification Products</v>
      </c>
      <c r="M43" s="539">
        <f t="shared" si="6"/>
        <v>0</v>
      </c>
      <c r="N43" s="1530" t="e">
        <f>(M43/M75)</f>
        <v>#DIV/0!</v>
      </c>
    </row>
    <row r="44" spans="1:14" ht="15.75">
      <c r="A44" s="142" t="s">
        <v>64</v>
      </c>
      <c r="B44" s="118" t="s">
        <v>102</v>
      </c>
      <c r="C44" s="118" t="s">
        <v>66</v>
      </c>
      <c r="D44" s="118" t="s">
        <v>105</v>
      </c>
      <c r="E44" s="30" t="s">
        <v>118</v>
      </c>
      <c r="F44" s="560">
        <f>Packaging!B16</f>
        <v>0</v>
      </c>
      <c r="G44" s="130" t="e">
        <f>Table15[[#This Row],[CO2mte]]/IF('GHG Emissons Breakdown'!$F$14="Market-Based",Summary!$F$126,IF('GHG Emissons Breakdown'!$F$14="Location-Based",Summary!$F$125,FALSE))</f>
        <v>#DIV/0!</v>
      </c>
      <c r="J44" s="538"/>
      <c r="K44" s="537"/>
      <c r="L44" s="533" t="str">
        <f t="shared" si="5"/>
        <v>Purchased Wine Bottles by Third Party</v>
      </c>
      <c r="M44" s="539">
        <f t="shared" si="6"/>
        <v>0</v>
      </c>
      <c r="N44" s="1530" t="s">
        <v>69</v>
      </c>
    </row>
    <row r="45" spans="1:14" ht="15.75">
      <c r="A45" s="142" t="s">
        <v>64</v>
      </c>
      <c r="B45" s="117" t="s">
        <v>102</v>
      </c>
      <c r="C45" s="117" t="s">
        <v>66</v>
      </c>
      <c r="D45" s="117" t="s">
        <v>105</v>
      </c>
      <c r="E45" s="30" t="s">
        <v>119</v>
      </c>
      <c r="F45" s="559">
        <f>Packaging!B17</f>
        <v>0</v>
      </c>
      <c r="G45" s="129" t="e">
        <f>Table15[[#This Row],[CO2mte]]/IF('GHG Emissons Breakdown'!$F$14="Market-Based",Summary!$F$126,IF('GHG Emissons Breakdown'!$F$14="Location-Based",Summary!$F$125,FALSE))</f>
        <v>#DIV/0!</v>
      </c>
      <c r="J45" s="538"/>
      <c r="K45" s="537"/>
      <c r="L45" s="533" t="str">
        <f t="shared" si="5"/>
        <v>Purchased Barrels (embedded)</v>
      </c>
      <c r="M45" s="539">
        <f t="shared" si="6"/>
        <v>0</v>
      </c>
      <c r="N45" s="1530" t="e">
        <f>(M45/M75)</f>
        <v>#DIV/0!</v>
      </c>
    </row>
    <row r="46" spans="1:14" ht="15.75">
      <c r="A46" s="142" t="s">
        <v>64</v>
      </c>
      <c r="B46" s="118" t="s">
        <v>102</v>
      </c>
      <c r="C46" s="118" t="s">
        <v>66</v>
      </c>
      <c r="D46" s="118" t="s">
        <v>105</v>
      </c>
      <c r="E46" s="30" t="s">
        <v>120</v>
      </c>
      <c r="F46" s="560">
        <f>Packaging!B18</f>
        <v>0</v>
      </c>
      <c r="G46" s="130" t="e">
        <f>Table15[[#This Row],[CO2mte]]/IF('GHG Emissons Breakdown'!$F$14="Market-Based",Summary!$F$126,IF('GHG Emissons Breakdown'!$F$14="Location-Based",Summary!$F$125,FALSE))</f>
        <v>#DIV/0!</v>
      </c>
      <c r="J46" s="538"/>
      <c r="K46" s="537"/>
      <c r="L46" s="533" t="str">
        <f t="shared" si="5"/>
        <v>Fertilizer Production</v>
      </c>
      <c r="M46" s="539">
        <f t="shared" si="6"/>
        <v>0</v>
      </c>
      <c r="N46" s="1530" t="s">
        <v>69</v>
      </c>
    </row>
    <row r="47" spans="1:14" ht="15.75">
      <c r="A47" s="142" t="s">
        <v>64</v>
      </c>
      <c r="B47" s="117" t="s">
        <v>102</v>
      </c>
      <c r="C47" s="117" t="s">
        <v>66</v>
      </c>
      <c r="D47" s="117" t="s">
        <v>105</v>
      </c>
      <c r="E47" s="30" t="s">
        <v>121</v>
      </c>
      <c r="F47" s="559">
        <f>Packaging!B19</f>
        <v>0</v>
      </c>
      <c r="G47" s="129" t="e">
        <f>Table15[[#This Row],[CO2mte]]/IF('GHG Emissons Breakdown'!$F$14="Market-Based",Summary!$F$126,IF('GHG Emissons Breakdown'!$F$14="Location-Based",Summary!$F$125,FALSE))</f>
        <v>#DIV/0!</v>
      </c>
      <c r="J47" s="538"/>
      <c r="K47" s="540" t="str">
        <f>E61</f>
        <v>Capital Goods</v>
      </c>
      <c r="L47" s="541" t="str">
        <f>E62</f>
        <v>CAPEX</v>
      </c>
      <c r="M47" s="539">
        <f>F62</f>
        <v>0</v>
      </c>
      <c r="N47" s="1530" t="e">
        <f>(M47/M75)</f>
        <v>#DIV/0!</v>
      </c>
    </row>
    <row r="48" spans="1:14" ht="15.75">
      <c r="A48" s="142" t="s">
        <v>64</v>
      </c>
      <c r="B48" s="118" t="s">
        <v>102</v>
      </c>
      <c r="C48" s="118" t="s">
        <v>66</v>
      </c>
      <c r="D48" s="118" t="s">
        <v>105</v>
      </c>
      <c r="E48" s="31" t="s">
        <v>122</v>
      </c>
      <c r="F48" s="119">
        <f>SUM(F49:F60)</f>
        <v>0</v>
      </c>
      <c r="G48" s="132" t="e">
        <f>Table15[[#This Row],[CO2mte]]/IF('GHG Emissons Breakdown'!$F$14="Market-Based",Summary!$F$126,IF('GHG Emissons Breakdown'!$F$14="Location-Based",Summary!$F$125,FALSE))</f>
        <v>#DIV/0!</v>
      </c>
      <c r="J48" s="538"/>
      <c r="K48" s="29" t="str">
        <f>E64</f>
        <v>Upstream Fuel Emissions</v>
      </c>
      <c r="L48" s="533" t="str">
        <f t="shared" ref="L48:M51" si="7">E65</f>
        <v>Stationary Fuels</v>
      </c>
      <c r="M48" s="534">
        <f t="shared" si="7"/>
        <v>0</v>
      </c>
      <c r="N48" s="1530" t="e">
        <f>M48/M75</f>
        <v>#DIV/0!</v>
      </c>
    </row>
    <row r="49" spans="1:14" ht="15.75">
      <c r="A49" s="142" t="s">
        <v>64</v>
      </c>
      <c r="B49" s="117" t="s">
        <v>102</v>
      </c>
      <c r="C49" s="117" t="s">
        <v>66</v>
      </c>
      <c r="D49" s="117" t="s">
        <v>105</v>
      </c>
      <c r="E49" s="30" t="s">
        <v>123</v>
      </c>
      <c r="F49" s="559">
        <f>'Purchased Products'!B4</f>
        <v>0</v>
      </c>
      <c r="G49" s="129" t="e">
        <f>Table15[[#This Row],[CO2mte]]/IF('GHG Emissons Breakdown'!$F$14="Market-Based",Summary!$F$126,IF('GHG Emissons Breakdown'!$F$14="Location-Based",Summary!$F$125,FALSE))</f>
        <v>#DIV/0!</v>
      </c>
      <c r="J49" s="538"/>
      <c r="K49" s="537"/>
      <c r="L49" s="533" t="str">
        <f t="shared" si="7"/>
        <v>Mobile Fuels</v>
      </c>
      <c r="M49" s="534">
        <f t="shared" si="7"/>
        <v>0</v>
      </c>
      <c r="N49" s="1530" t="e">
        <f>(M49/M75)</f>
        <v>#DIV/0!</v>
      </c>
    </row>
    <row r="50" spans="1:14" ht="15.75">
      <c r="A50" s="142" t="s">
        <v>64</v>
      </c>
      <c r="B50" s="118" t="s">
        <v>102</v>
      </c>
      <c r="C50" s="118" t="s">
        <v>66</v>
      </c>
      <c r="D50" s="118" t="s">
        <v>105</v>
      </c>
      <c r="E50" s="30" t="s">
        <v>124</v>
      </c>
      <c r="F50" s="560">
        <f>'Purchased Products'!B5</f>
        <v>0</v>
      </c>
      <c r="G50" s="130" t="e">
        <f>Table15[[#This Row],[CO2mte]]/IF('GHG Emissons Breakdown'!$F$14="Market-Based",Summary!$F$126,IF('GHG Emissons Breakdown'!$F$14="Location-Based",Summary!$F$125,FALSE))</f>
        <v>#DIV/0!</v>
      </c>
      <c r="J50" s="538"/>
      <c r="K50" s="537"/>
      <c r="L50" s="533" t="str">
        <f t="shared" si="7"/>
        <v>Own Land Farmed/Harvested by Third Party</v>
      </c>
      <c r="M50" s="534">
        <f t="shared" si="7"/>
        <v>0</v>
      </c>
      <c r="N50" s="1530" t="s">
        <v>69</v>
      </c>
    </row>
    <row r="51" spans="1:14" ht="15.75">
      <c r="A51" s="142" t="s">
        <v>64</v>
      </c>
      <c r="B51" s="117" t="s">
        <v>102</v>
      </c>
      <c r="C51" s="117" t="s">
        <v>66</v>
      </c>
      <c r="D51" s="117" t="s">
        <v>105</v>
      </c>
      <c r="E51" s="30" t="str">
        <f>'Purchased Products'!A6</f>
        <v>Crop Protection Products</v>
      </c>
      <c r="F51" s="559">
        <f>'Purchased Products'!B6</f>
        <v>0</v>
      </c>
      <c r="G51" s="129" t="e">
        <f>Table15[[#This Row],[CO2mte]]/IF('GHG Emissons Breakdown'!$F$14="Market-Based",Summary!$F$126,IF('GHG Emissons Breakdown'!$F$14="Location-Based",Summary!$F$125,FALSE))</f>
        <v>#DIV/0!</v>
      </c>
      <c r="J51" s="538"/>
      <c r="K51" s="537"/>
      <c r="L51" s="533" t="str">
        <f t="shared" si="7"/>
        <v>Stationary Fuel for Bottling by Third Party</v>
      </c>
      <c r="M51" s="534">
        <f t="shared" si="7"/>
        <v>0</v>
      </c>
      <c r="N51" s="1530" t="s">
        <v>69</v>
      </c>
    </row>
    <row r="52" spans="1:14" ht="15.75">
      <c r="A52" s="142" t="s">
        <v>64</v>
      </c>
      <c r="B52" s="118" t="s">
        <v>102</v>
      </c>
      <c r="C52" s="118" t="s">
        <v>66</v>
      </c>
      <c r="D52" s="118" t="s">
        <v>105</v>
      </c>
      <c r="E52" s="30" t="str">
        <f>'Purchased Products'!A7</f>
        <v>Grape Vine Trellising</v>
      </c>
      <c r="F52" s="560">
        <f>'Purchased Products'!B7</f>
        <v>0</v>
      </c>
      <c r="G52" s="130" t="e">
        <f>Table15[[#This Row],[CO2mte]]/IF('GHG Emissons Breakdown'!$F$14="Market-Based",Summary!$F$126,IF('GHG Emissons Breakdown'!$F$14="Location-Based",Summary!$F$125,FALSE))</f>
        <v>#DIV/0!</v>
      </c>
      <c r="J52" s="538"/>
      <c r="K52" s="29" t="s">
        <v>125</v>
      </c>
      <c r="L52" s="533" t="s">
        <v>126</v>
      </c>
      <c r="M52" s="534">
        <f>F70</f>
        <v>0</v>
      </c>
      <c r="N52" s="1530" t="e">
        <f>(M52/M75)</f>
        <v>#DIV/0!</v>
      </c>
    </row>
    <row r="53" spans="1:14" ht="15.75">
      <c r="A53" s="142" t="s">
        <v>64</v>
      </c>
      <c r="B53" s="117" t="s">
        <v>102</v>
      </c>
      <c r="C53" s="117" t="s">
        <v>66</v>
      </c>
      <c r="D53" s="117" t="s">
        <v>105</v>
      </c>
      <c r="E53" s="30" t="str">
        <f>'Purchased Products'!A8</f>
        <v>Biomass Treatment</v>
      </c>
      <c r="F53" s="559">
        <f>'Purchased Products'!B8</f>
        <v>0</v>
      </c>
      <c r="G53" s="129" t="e">
        <f>Table15[[#This Row],[CO2mte]]/IF('GHG Emissons Breakdown'!$F$14="Market-Based",Summary!$F$126,IF('GHG Emissons Breakdown'!$F$14="Location-Based",Summary!$F$125,FALSE))</f>
        <v>#DIV/0!</v>
      </c>
      <c r="J53" s="538"/>
      <c r="K53" s="29" t="s">
        <v>127</v>
      </c>
      <c r="L53" s="533" t="str">
        <f t="shared" ref="L53:M55" si="8">E72</f>
        <v>Outsourced Harvest Transport (internal fruit only)</v>
      </c>
      <c r="M53" s="534">
        <f t="shared" si="8"/>
        <v>0</v>
      </c>
      <c r="N53" s="1530" t="e">
        <f>M53/M75</f>
        <v>#DIV/0!</v>
      </c>
    </row>
    <row r="54" spans="1:14" ht="15.75">
      <c r="A54" s="142" t="s">
        <v>64</v>
      </c>
      <c r="B54" s="118" t="s">
        <v>102</v>
      </c>
      <c r="C54" s="118" t="s">
        <v>66</v>
      </c>
      <c r="D54" s="118" t="s">
        <v>105</v>
      </c>
      <c r="E54" s="30" t="str">
        <f>'Purchased Products'!A9</f>
        <v>Purchased Municipal Water</v>
      </c>
      <c r="F54" s="560">
        <f>'Purchased Products'!B9</f>
        <v>0</v>
      </c>
      <c r="G54" s="130" t="e">
        <f>Table15[[#This Row],[CO2mte]]/IF('GHG Emissons Breakdown'!$F$14="Market-Based",Summary!$F$126,IF('GHG Emissons Breakdown'!$F$14="Location-Based",Summary!$F$125,FALSE))</f>
        <v>#DIV/0!</v>
      </c>
      <c r="J54" s="538"/>
      <c r="K54" s="537"/>
      <c r="L54" s="533" t="str">
        <f t="shared" si="8"/>
        <v>Barrel Transport</v>
      </c>
      <c r="M54" s="534">
        <f t="shared" si="8"/>
        <v>0</v>
      </c>
      <c r="N54" s="1530" t="e">
        <f>M54/M75</f>
        <v>#DIV/0!</v>
      </c>
    </row>
    <row r="55" spans="1:14" ht="15.75">
      <c r="A55" s="142" t="s">
        <v>64</v>
      </c>
      <c r="B55" s="117" t="s">
        <v>102</v>
      </c>
      <c r="C55" s="117" t="s">
        <v>66</v>
      </c>
      <c r="D55" s="117" t="s">
        <v>105</v>
      </c>
      <c r="E55" s="30" t="str">
        <f>'Purchased Products'!A10</f>
        <v>Winemaking Gases</v>
      </c>
      <c r="F55" s="559">
        <f>'Purchased Products'!B10</f>
        <v>0</v>
      </c>
      <c r="G55" s="129" t="e">
        <f>Table15[[#This Row],[CO2mte]]/IF('GHG Emissons Breakdown'!$F$14="Market-Based",Summary!$F$126,IF('GHG Emissons Breakdown'!$F$14="Location-Based",Summary!$F$125,FALSE))</f>
        <v>#DIV/0!</v>
      </c>
      <c r="J55" s="538"/>
      <c r="K55" s="537"/>
      <c r="L55" s="533" t="str">
        <f t="shared" si="8"/>
        <v>Upstream Product Transport</v>
      </c>
      <c r="M55" s="534">
        <f t="shared" si="8"/>
        <v>0</v>
      </c>
      <c r="N55" s="1530" t="e">
        <f>M55/M75</f>
        <v>#DIV/0!</v>
      </c>
    </row>
    <row r="56" spans="1:14" ht="15.75">
      <c r="A56" s="142" t="s">
        <v>64</v>
      </c>
      <c r="B56" s="118" t="s">
        <v>102</v>
      </c>
      <c r="C56" s="118" t="s">
        <v>66</v>
      </c>
      <c r="D56" s="118" t="s">
        <v>105</v>
      </c>
      <c r="E56" s="30" t="str">
        <f>'Purchased Products'!A11</f>
        <v>Winemaking Products</v>
      </c>
      <c r="F56" s="560">
        <f>'Purchased Products'!B11</f>
        <v>0</v>
      </c>
      <c r="G56" s="130" t="e">
        <f>Table15[[#This Row],[CO2mte]]/IF('GHG Emissons Breakdown'!$F$14="Market-Based",Summary!$F$126,IF('GHG Emissons Breakdown'!$F$14="Location-Based",Summary!$F$125,FALSE))</f>
        <v>#DIV/0!</v>
      </c>
      <c r="J56" s="538"/>
      <c r="K56" s="542"/>
      <c r="L56" s="533" t="s">
        <v>128</v>
      </c>
      <c r="M56" s="534">
        <f>F75</f>
        <v>0</v>
      </c>
      <c r="N56" s="1530" t="e">
        <f>M56/M75</f>
        <v>#DIV/0!</v>
      </c>
    </row>
    <row r="57" spans="1:14" ht="15.75">
      <c r="A57" s="142" t="s">
        <v>64</v>
      </c>
      <c r="B57" s="117" t="s">
        <v>102</v>
      </c>
      <c r="C57" s="117" t="s">
        <v>66</v>
      </c>
      <c r="D57" s="117" t="s">
        <v>105</v>
      </c>
      <c r="E57" s="30" t="str">
        <f>'Purchased Products'!A12</f>
        <v>Water Purification Products</v>
      </c>
      <c r="F57" s="559">
        <f>'Purchased Products'!B12</f>
        <v>0</v>
      </c>
      <c r="G57" s="129" t="e">
        <f>Table15[[#This Row],[CO2mte]]/IF('GHG Emissons Breakdown'!$F$14="Market-Based",Summary!$F$126,IF('GHG Emissons Breakdown'!$F$14="Location-Based",Summary!$F$125,FALSE))</f>
        <v>#DIV/0!</v>
      </c>
      <c r="J57" s="538"/>
      <c r="K57" s="29" t="s">
        <v>129</v>
      </c>
      <c r="L57" s="533" t="str">
        <f t="shared" ref="L57:M60" si="9">E78</f>
        <v>Waste to Landfill Emissions</v>
      </c>
      <c r="M57" s="534">
        <f t="shared" si="9"/>
        <v>0</v>
      </c>
      <c r="N57" s="1530" t="e">
        <f>M57/M75</f>
        <v>#DIV/0!</v>
      </c>
    </row>
    <row r="58" spans="1:14" ht="15.75">
      <c r="A58" s="142" t="s">
        <v>64</v>
      </c>
      <c r="B58" s="118" t="s">
        <v>102</v>
      </c>
      <c r="C58" s="118" t="s">
        <v>66</v>
      </c>
      <c r="D58" s="118" t="s">
        <v>105</v>
      </c>
      <c r="E58" s="30" t="str">
        <f>'Purchased Products'!A15</f>
        <v>Purchased Wine Bottles by Third Party</v>
      </c>
      <c r="F58" s="560">
        <f>'Purchased Products'!B15</f>
        <v>0</v>
      </c>
      <c r="G58" s="130" t="e">
        <f>Table15[[#This Row],[CO2mte]]/IF('GHG Emissons Breakdown'!$F$14="Market-Based",Summary!$F$126,IF('GHG Emissons Breakdown'!$F$14="Location-Based",Summary!$F$125,FALSE))</f>
        <v>#DIV/0!</v>
      </c>
      <c r="J58" s="538"/>
      <c r="K58" s="537"/>
      <c r="L58" s="533" t="str">
        <f t="shared" si="9"/>
        <v>Recycling Emissions</v>
      </c>
      <c r="M58" s="534">
        <f t="shared" si="9"/>
        <v>0</v>
      </c>
      <c r="N58" s="1530" t="e">
        <f>(M58/M75)</f>
        <v>#DIV/0!</v>
      </c>
    </row>
    <row r="59" spans="1:14" ht="15.75">
      <c r="A59" s="142" t="s">
        <v>64</v>
      </c>
      <c r="B59" s="117" t="s">
        <v>102</v>
      </c>
      <c r="C59" s="117" t="s">
        <v>66</v>
      </c>
      <c r="D59" s="117" t="s">
        <v>105</v>
      </c>
      <c r="E59" s="30" t="s">
        <v>130</v>
      </c>
      <c r="F59" s="559">
        <f>'Purchased Products'!B14</f>
        <v>0</v>
      </c>
      <c r="G59" s="129" t="e">
        <f>Table15[[#This Row],[CO2mte]]/IF('GHG Emissons Breakdown'!$F$14="Market-Based",Summary!$F$126,IF('GHG Emissons Breakdown'!$F$14="Location-Based",Summary!$F$125,FALSE))</f>
        <v>#DIV/0!</v>
      </c>
      <c r="J59" s="538"/>
      <c r="K59" s="537"/>
      <c r="L59" s="533" t="str">
        <f t="shared" si="9"/>
        <v>Compost Emissions</v>
      </c>
      <c r="M59" s="534">
        <f t="shared" si="9"/>
        <v>0</v>
      </c>
      <c r="N59" s="1530" t="e">
        <f>M59/M75</f>
        <v>#DIV/0!</v>
      </c>
    </row>
    <row r="60" spans="1:14" ht="15.75">
      <c r="A60" s="142" t="s">
        <v>64</v>
      </c>
      <c r="B60" s="118" t="s">
        <v>102</v>
      </c>
      <c r="C60" s="118" t="s">
        <v>66</v>
      </c>
      <c r="D60" s="118" t="s">
        <v>105</v>
      </c>
      <c r="E60" s="30" t="s">
        <v>131</v>
      </c>
      <c r="F60" s="560">
        <f>'Fertilizer Production'!B4</f>
        <v>0</v>
      </c>
      <c r="G60" s="130" t="e">
        <f>Table15[[#This Row],[CO2mte]]/IF('GHG Emissons Breakdown'!$F$14="Market-Based",Summary!$F$126,IF('GHG Emissons Breakdown'!$F$14="Location-Based",Summary!$F$125,FALSE))</f>
        <v>#DIV/0!</v>
      </c>
      <c r="J60" s="538"/>
      <c r="K60" s="537"/>
      <c r="L60" s="533" t="str">
        <f t="shared" si="9"/>
        <v>Wastewater Treatment</v>
      </c>
      <c r="M60" s="534">
        <f t="shared" si="9"/>
        <v>0</v>
      </c>
      <c r="N60" s="1530" t="e">
        <f>M60/M75</f>
        <v>#DIV/0!</v>
      </c>
    </row>
    <row r="61" spans="1:14" ht="18.75">
      <c r="B61" s="109" t="s">
        <v>102</v>
      </c>
      <c r="C61" s="100" t="s">
        <v>99</v>
      </c>
      <c r="D61" s="100"/>
      <c r="E61" s="123" t="s">
        <v>132</v>
      </c>
      <c r="F61" s="98"/>
      <c r="G61" s="99"/>
      <c r="J61" s="538"/>
      <c r="K61" s="29" t="s">
        <v>133</v>
      </c>
      <c r="L61" s="533" t="str">
        <f t="shared" ref="L61:M66" si="10">E84</f>
        <v>Passenger Vehicles</v>
      </c>
      <c r="M61" s="534">
        <f t="shared" si="10"/>
        <v>0</v>
      </c>
      <c r="N61" s="1530" t="s">
        <v>69</v>
      </c>
    </row>
    <row r="62" spans="1:14" ht="18.75" customHeight="1">
      <c r="A62" s="141" t="s">
        <v>104</v>
      </c>
      <c r="B62" s="117" t="s">
        <v>102</v>
      </c>
      <c r="C62" s="117" t="s">
        <v>99</v>
      </c>
      <c r="D62" s="117" t="s">
        <v>105</v>
      </c>
      <c r="E62" s="116" t="s">
        <v>134</v>
      </c>
      <c r="F62" s="121">
        <f>'Purchased Products'!B21</f>
        <v>0</v>
      </c>
      <c r="G62" s="128" t="e">
        <f>Table15[[#This Row],[CO2mte]]/IF('GHG Emissons Breakdown'!$F$14="Market-Based",Summary!$F$126,IF('GHG Emissons Breakdown'!$F$14="Location-Based",Summary!$F$125,FALSE))</f>
        <v>#DIV/0!</v>
      </c>
      <c r="J62" s="538"/>
      <c r="K62" s="537"/>
      <c r="L62" s="533" t="str">
        <f t="shared" si="10"/>
        <v>Air Travel</v>
      </c>
      <c r="M62" s="534">
        <f t="shared" si="10"/>
        <v>0</v>
      </c>
      <c r="N62" s="1530" t="e">
        <f>(M62/M75)</f>
        <v>#DIV/0!</v>
      </c>
    </row>
    <row r="63" spans="1:14" ht="32.25">
      <c r="A63" s="142"/>
      <c r="B63" s="109" t="s">
        <v>102</v>
      </c>
      <c r="C63" s="100" t="s">
        <v>135</v>
      </c>
      <c r="D63" s="100"/>
      <c r="E63" s="123" t="s">
        <v>136</v>
      </c>
      <c r="F63" s="98"/>
      <c r="G63" s="99"/>
      <c r="J63" s="538"/>
      <c r="K63" s="543"/>
      <c r="L63" s="533" t="str">
        <f t="shared" si="10"/>
        <v>Rideshare</v>
      </c>
      <c r="M63" s="534">
        <f t="shared" si="10"/>
        <v>0</v>
      </c>
      <c r="N63" s="1530" t="e">
        <f>(M63/M75)</f>
        <v>#DIV/0!</v>
      </c>
    </row>
    <row r="64" spans="1:14" ht="15.75">
      <c r="A64" s="142" t="s">
        <v>64</v>
      </c>
      <c r="B64" s="117" t="s">
        <v>102</v>
      </c>
      <c r="C64" s="117" t="s">
        <v>135</v>
      </c>
      <c r="D64" s="117" t="s">
        <v>105</v>
      </c>
      <c r="E64" s="116" t="s">
        <v>137</v>
      </c>
      <c r="F64" s="121">
        <f>SUM(F65:F68)</f>
        <v>0</v>
      </c>
      <c r="G64" s="128" t="e">
        <f>Table15[[#This Row],[CO2mte]]/IF('GHG Emissons Breakdown'!$F$14="Market-Based",Summary!$F$126,IF('GHG Emissons Breakdown'!$F$14="Location-Based",Summary!$F$125,FALSE))</f>
        <v>#DIV/0!</v>
      </c>
      <c r="J64" s="538"/>
      <c r="K64" s="537"/>
      <c r="L64" s="533" t="str">
        <f t="shared" si="10"/>
        <v>Train</v>
      </c>
      <c r="M64" s="534">
        <f t="shared" si="10"/>
        <v>0</v>
      </c>
      <c r="N64" s="1530" t="s">
        <v>69</v>
      </c>
    </row>
    <row r="65" spans="1:14">
      <c r="A65" s="142" t="s">
        <v>64</v>
      </c>
      <c r="B65" s="118" t="s">
        <v>102</v>
      </c>
      <c r="C65" s="118" t="s">
        <v>135</v>
      </c>
      <c r="D65" s="118" t="s">
        <v>105</v>
      </c>
      <c r="E65" s="125" t="s">
        <v>138</v>
      </c>
      <c r="F65" s="120">
        <f>Stationary!C9</f>
        <v>0</v>
      </c>
      <c r="G65" s="130" t="e">
        <f>Table15[[#This Row],[CO2mte]]/IF('GHG Emissons Breakdown'!$F$14="Market-Based",Summary!$F$126,IF('GHG Emissons Breakdown'!$F$14="Location-Based",Summary!$F$125,FALSE))</f>
        <v>#DIV/0!</v>
      </c>
      <c r="J65" s="538"/>
      <c r="K65" s="537"/>
      <c r="L65" s="533" t="str">
        <f t="shared" si="10"/>
        <v>Bus</v>
      </c>
      <c r="M65" s="534">
        <f t="shared" si="10"/>
        <v>0</v>
      </c>
      <c r="N65" s="1530" t="s">
        <v>69</v>
      </c>
    </row>
    <row r="66" spans="1:14">
      <c r="A66" s="142" t="s">
        <v>64</v>
      </c>
      <c r="B66" s="117" t="s">
        <v>102</v>
      </c>
      <c r="C66" s="117" t="s">
        <v>135</v>
      </c>
      <c r="D66" s="117" t="s">
        <v>105</v>
      </c>
      <c r="E66" s="125" t="s">
        <v>139</v>
      </c>
      <c r="F66" s="122">
        <f>Mobile!C10</f>
        <v>0</v>
      </c>
      <c r="G66" s="129" t="e">
        <f>Table15[[#This Row],[CO2mte]]/IF('GHG Emissons Breakdown'!$F$14="Market-Based",Summary!$F$126,IF('GHG Emissons Breakdown'!$F$14="Location-Based",Summary!$F$125,FALSE))</f>
        <v>#DIV/0!</v>
      </c>
      <c r="J66" s="538"/>
      <c r="K66" s="537"/>
      <c r="L66" s="533" t="str">
        <f t="shared" si="10"/>
        <v>Hotels (optional)</v>
      </c>
      <c r="M66" s="534">
        <f t="shared" si="10"/>
        <v>0</v>
      </c>
      <c r="N66" s="1530" t="s">
        <v>69</v>
      </c>
    </row>
    <row r="67" spans="1:14">
      <c r="A67" s="142" t="s">
        <v>64</v>
      </c>
      <c r="B67" s="118" t="s">
        <v>102</v>
      </c>
      <c r="C67" s="118" t="s">
        <v>135</v>
      </c>
      <c r="D67" s="118" t="s">
        <v>105</v>
      </c>
      <c r="E67" s="125" t="str">
        <f>'Purchased Products'!A18</f>
        <v>Own Land Farmed/Harvested by Third Party</v>
      </c>
      <c r="F67" s="120">
        <f>'Purchased Products'!B18</f>
        <v>0</v>
      </c>
      <c r="G67" s="130" t="e">
        <f>Table15[[#This Row],[CO2mte]]/IF('GHG Emissons Breakdown'!$F$14="Market-Based",Summary!$F$126,IF('GHG Emissons Breakdown'!$F$14="Location-Based",Summary!$F$125,FALSE))</f>
        <v>#DIV/0!</v>
      </c>
      <c r="J67" s="538"/>
      <c r="K67" s="29" t="s">
        <v>140</v>
      </c>
      <c r="L67" s="533" t="str">
        <f>E91</f>
        <v>Employee Commute</v>
      </c>
      <c r="M67" s="534">
        <f>F91</f>
        <v>0</v>
      </c>
      <c r="N67" s="1530" t="e">
        <f>(M67/M75)</f>
        <v>#DIV/0!</v>
      </c>
    </row>
    <row r="68" spans="1:14">
      <c r="A68" s="142" t="s">
        <v>64</v>
      </c>
      <c r="B68" s="117" t="s">
        <v>102</v>
      </c>
      <c r="C68" s="117" t="s">
        <v>135</v>
      </c>
      <c r="D68" s="117" t="s">
        <v>105</v>
      </c>
      <c r="E68" s="125" t="str">
        <f>'Purchased Products'!A17</f>
        <v>Stationary Fuel for Bottling by Third Party</v>
      </c>
      <c r="F68" s="122">
        <f>'Purchased Products'!B17</f>
        <v>0</v>
      </c>
      <c r="G68" s="129" t="e">
        <f>Table15[[#This Row],[CO2mte]]/IF('GHG Emissons Breakdown'!$F$14="Market-Based",Summary!$F$126,IF('GHG Emissons Breakdown'!$F$14="Location-Based",Summary!$F$125,FALSE))</f>
        <v>#DIV/0!</v>
      </c>
      <c r="J68" s="538"/>
      <c r="K68" s="31" t="s">
        <v>141</v>
      </c>
      <c r="L68" s="534" t="str">
        <f>E113</f>
        <v>Tasting Room Traffic</v>
      </c>
      <c r="M68" s="534">
        <f>F113</f>
        <v>0</v>
      </c>
      <c r="N68" s="1530" t="e">
        <f>(M68/M75)</f>
        <v>#DIV/0!</v>
      </c>
    </row>
    <row r="69" spans="1:14" ht="15.75">
      <c r="A69" s="142" t="s">
        <v>64</v>
      </c>
      <c r="B69" s="118" t="s">
        <v>102</v>
      </c>
      <c r="C69" s="118" t="s">
        <v>135</v>
      </c>
      <c r="D69" s="118" t="s">
        <v>105</v>
      </c>
      <c r="E69" s="29" t="s">
        <v>142</v>
      </c>
      <c r="F69" s="119">
        <f>Electricity!B5</f>
        <v>0</v>
      </c>
      <c r="G69" s="132" t="e">
        <f>Table15[[#This Row],[CO2mte]]/$F$125</f>
        <v>#DIV/0!</v>
      </c>
      <c r="J69" s="538"/>
      <c r="K69" s="29" t="s">
        <v>143</v>
      </c>
      <c r="L69" s="534" t="str">
        <f>E96</f>
        <v>Domestic Product Transport</v>
      </c>
      <c r="M69" s="534">
        <f>F96</f>
        <v>0</v>
      </c>
      <c r="N69" s="1530" t="e">
        <f>(M69/M75)</f>
        <v>#DIV/0!</v>
      </c>
    </row>
    <row r="70" spans="1:14" ht="16.5" customHeight="1">
      <c r="A70" s="142" t="s">
        <v>64</v>
      </c>
      <c r="B70" s="117" t="s">
        <v>102</v>
      </c>
      <c r="C70" s="117" t="s">
        <v>135</v>
      </c>
      <c r="D70" s="117" t="s">
        <v>105</v>
      </c>
      <c r="E70" s="29" t="s">
        <v>144</v>
      </c>
      <c r="F70" s="121">
        <f>Electricity!B7</f>
        <v>0</v>
      </c>
      <c r="G70" s="128" t="e">
        <f>Table15[[#This Row],[CO2mte]]/$F$126</f>
        <v>#DIV/0!</v>
      </c>
      <c r="J70" s="538"/>
      <c r="K70" s="537"/>
      <c r="L70" s="534" t="str">
        <f>E97</f>
        <v>International Product Transport</v>
      </c>
      <c r="M70" s="534">
        <f>F97</f>
        <v>0</v>
      </c>
      <c r="N70" s="1530" t="e">
        <f>(M70/M75)</f>
        <v>#DIV/0!</v>
      </c>
    </row>
    <row r="71" spans="1:14" ht="32.25">
      <c r="B71" s="109" t="s">
        <v>102</v>
      </c>
      <c r="C71" s="100" t="s">
        <v>105</v>
      </c>
      <c r="D71" s="100"/>
      <c r="E71" s="123" t="s">
        <v>145</v>
      </c>
      <c r="F71" s="98"/>
      <c r="G71" s="99"/>
      <c r="J71" s="538"/>
      <c r="K71" s="29" t="str">
        <f>E99</f>
        <v>Distributor/Retailer Refrigeration</v>
      </c>
      <c r="L71" s="533" t="str">
        <f>E99</f>
        <v>Distributor/Retailer Refrigeration</v>
      </c>
      <c r="M71" s="534">
        <f>F99</f>
        <v>0</v>
      </c>
      <c r="N71" s="1530" t="e">
        <f>(M71/M75)</f>
        <v>#DIV/0!</v>
      </c>
    </row>
    <row r="72" spans="1:14" ht="15.75">
      <c r="A72" s="142" t="s">
        <v>64</v>
      </c>
      <c r="B72" s="37" t="s">
        <v>102</v>
      </c>
      <c r="C72" s="37" t="s">
        <v>105</v>
      </c>
      <c r="D72" s="37" t="s">
        <v>135</v>
      </c>
      <c r="E72" s="31" t="str">
        <f>'Product Transport'!A7</f>
        <v>Outsourced Harvest Transport (internal fruit only)</v>
      </c>
      <c r="F72" s="38">
        <f>'Product Transport'!B7</f>
        <v>0</v>
      </c>
      <c r="G72" s="128" t="e">
        <f>Table15[[#This Row],[CO2mte]]/IF('GHG Emissons Breakdown'!$F$14="Market-Based",Summary!$F$126,IF('GHG Emissons Breakdown'!$F$14="Location-Based",Summary!$F$125,FALSE))</f>
        <v>#DIV/0!</v>
      </c>
      <c r="J72" s="538"/>
      <c r="K72" s="29" t="str">
        <f>E101</f>
        <v>Consumer Home Refrigeration</v>
      </c>
      <c r="L72" s="533" t="str">
        <f>E101</f>
        <v>Consumer Home Refrigeration</v>
      </c>
      <c r="M72" s="534">
        <f>F101</f>
        <v>0</v>
      </c>
      <c r="N72" s="1530" t="e">
        <f>(M72/M75)</f>
        <v>#DIV/0!</v>
      </c>
    </row>
    <row r="73" spans="1:14" ht="15.75">
      <c r="A73" s="142" t="s">
        <v>64</v>
      </c>
      <c r="B73" s="37" t="s">
        <v>102</v>
      </c>
      <c r="C73" s="37" t="s">
        <v>105</v>
      </c>
      <c r="D73" s="37" t="s">
        <v>135</v>
      </c>
      <c r="E73" s="29" t="s">
        <v>146</v>
      </c>
      <c r="F73" s="38">
        <f>'Purchased Products'!B13</f>
        <v>0</v>
      </c>
      <c r="G73" s="506" t="e">
        <f>Table15[[#This Row],[CO2mte]]/IF('GHG Emissons Breakdown'!$F$14="Market-Based",Summary!$F$126,IF('GHG Emissons Breakdown'!$F$14="Location-Based",Summary!$F$125,FALSE))</f>
        <v>#DIV/0!</v>
      </c>
      <c r="J73" s="538"/>
      <c r="K73" s="31" t="s">
        <v>147</v>
      </c>
      <c r="L73" s="533" t="str">
        <f>E104</f>
        <v>Argentina</v>
      </c>
      <c r="M73" s="534">
        <f>F104</f>
        <v>0</v>
      </c>
      <c r="N73" s="1530" t="e">
        <f>(M73/M75)</f>
        <v>#DIV/0!</v>
      </c>
    </row>
    <row r="74" spans="1:14" ht="15.75">
      <c r="A74" s="142" t="s">
        <v>64</v>
      </c>
      <c r="B74" s="37" t="s">
        <v>102</v>
      </c>
      <c r="C74" s="37" t="s">
        <v>105</v>
      </c>
      <c r="D74" s="37" t="s">
        <v>135</v>
      </c>
      <c r="E74" s="31" t="s">
        <v>148</v>
      </c>
      <c r="F74" s="38">
        <f>'Purchased Products'!B19</f>
        <v>0</v>
      </c>
      <c r="G74" s="128" t="e">
        <f>Table15[[#This Row],[CO2mte]]/IF('GHG Emissons Breakdown'!$F$14="Market-Based",Summary!$F$126,IF('GHG Emissons Breakdown'!$F$14="Location-Based",Summary!$F$125,FALSE))</f>
        <v>#DIV/0!</v>
      </c>
      <c r="J74" s="544"/>
      <c r="K74" s="545"/>
      <c r="L74" s="557" t="str">
        <f>E105</f>
        <v xml:space="preserve">International  </v>
      </c>
      <c r="M74" s="558">
        <f>F105</f>
        <v>0</v>
      </c>
      <c r="N74" s="1530" t="e">
        <f>(M74/M75)</f>
        <v>#DIV/0!</v>
      </c>
    </row>
    <row r="75" spans="1:14" ht="15.75">
      <c r="A75" s="142" t="s">
        <v>64</v>
      </c>
      <c r="B75" s="37" t="s">
        <v>102</v>
      </c>
      <c r="C75" s="37" t="s">
        <v>105</v>
      </c>
      <c r="D75" s="37" t="s">
        <v>135</v>
      </c>
      <c r="E75" s="31" t="str">
        <f>'Purchased Products'!A16</f>
        <v>Bottle Transport by Third Party</v>
      </c>
      <c r="F75" s="38">
        <f>'Purchased Products'!B16</f>
        <v>0</v>
      </c>
      <c r="G75" s="506" t="e">
        <f>Table15[[#This Row],[CO2mte]]/IF('GHG Emissons Breakdown'!$F$14="Market-Based",Summary!$F$126,IF('GHG Emissons Breakdown'!$F$14="Location-Based",Summary!$F$125,FALSE))</f>
        <v>#DIV/0!</v>
      </c>
      <c r="J75" s="92"/>
      <c r="K75" s="554"/>
      <c r="L75" s="555"/>
      <c r="M75" s="556">
        <f>SUM(M2:M74)</f>
        <v>0</v>
      </c>
      <c r="N75" s="556"/>
    </row>
    <row r="76" spans="1:14" ht="19.5" thickBot="1">
      <c r="B76" s="109" t="s">
        <v>149</v>
      </c>
      <c r="C76" s="100" t="s">
        <v>150</v>
      </c>
      <c r="D76" s="100"/>
      <c r="E76" s="123" t="s">
        <v>151</v>
      </c>
      <c r="F76" s="98"/>
      <c r="G76" s="99"/>
      <c r="J76" s="92"/>
      <c r="K76" s="554"/>
      <c r="L76" s="555"/>
      <c r="M76" s="556"/>
      <c r="N76" s="556"/>
    </row>
    <row r="77" spans="1:14" ht="16.5" thickBot="1">
      <c r="A77" s="142" t="s">
        <v>64</v>
      </c>
      <c r="B77" s="37" t="s">
        <v>149</v>
      </c>
      <c r="C77" s="37" t="s">
        <v>150</v>
      </c>
      <c r="D77" s="118" t="s">
        <v>105</v>
      </c>
      <c r="E77" s="29" t="s">
        <v>152</v>
      </c>
      <c r="F77" s="38">
        <f>SUM(F78:F81)</f>
        <v>0</v>
      </c>
      <c r="G77" s="506" t="e">
        <f>Table15[[#This Row],[CO2mte]]/IF('GHG Emissons Breakdown'!$F$14="Market-Based",Summary!$F$126,IF('GHG Emissons Breakdown'!$F$14="Location-Based",Summary!$F$125,FALSE))</f>
        <v>#DIV/0!</v>
      </c>
      <c r="I77" s="21"/>
      <c r="J77" s="92"/>
      <c r="K77" s="554"/>
      <c r="M77" s="546" t="s">
        <v>153</v>
      </c>
      <c r="N77" s="547" t="s">
        <v>154</v>
      </c>
    </row>
    <row r="78" spans="1:14">
      <c r="A78" s="142" t="s">
        <v>64</v>
      </c>
      <c r="B78" s="37" t="s">
        <v>149</v>
      </c>
      <c r="C78" s="37" t="s">
        <v>150</v>
      </c>
      <c r="D78" s="117" t="s">
        <v>105</v>
      </c>
      <c r="E78" s="30" t="s">
        <v>155</v>
      </c>
      <c r="F78" s="39">
        <f>'Offsite Waste'!B7</f>
        <v>0</v>
      </c>
      <c r="G78" s="129" t="e">
        <f>Table15[[#This Row],[CO2mte]]/IF('GHG Emissons Breakdown'!$F$14="Market-Based",Summary!$F$126,IF('GHG Emissons Breakdown'!$F$14="Location-Based",Summary!$F$125,FALSE))</f>
        <v>#DIV/0!</v>
      </c>
      <c r="L78" s="548" t="s">
        <v>62</v>
      </c>
      <c r="M78" s="549">
        <f>SUM(M2:M17)</f>
        <v>0</v>
      </c>
      <c r="N78" s="549" t="e">
        <f>SUM(N2:N17)</f>
        <v>#DIV/0!</v>
      </c>
    </row>
    <row r="79" spans="1:14">
      <c r="A79" s="142" t="s">
        <v>64</v>
      </c>
      <c r="B79" s="37" t="s">
        <v>149</v>
      </c>
      <c r="C79" s="37" t="s">
        <v>150</v>
      </c>
      <c r="D79" s="118" t="s">
        <v>105</v>
      </c>
      <c r="E79" s="30" t="s">
        <v>156</v>
      </c>
      <c r="F79" s="39">
        <f>'Offsite Waste'!B5</f>
        <v>0</v>
      </c>
      <c r="G79" s="130" t="e">
        <f>Table15[[#This Row],[CO2mte]]/IF('GHG Emissons Breakdown'!$F$14="Market-Based",Summary!$F$126,IF('GHG Emissons Breakdown'!$F$14="Location-Based",Summary!$F$125,FALSE))</f>
        <v>#DIV/0!</v>
      </c>
      <c r="L79" s="530" t="s">
        <v>89</v>
      </c>
      <c r="M79" s="550">
        <f>SUM(M18)</f>
        <v>0</v>
      </c>
      <c r="N79" s="550" t="e">
        <f>SUM(N18)</f>
        <v>#DIV/0!</v>
      </c>
    </row>
    <row r="80" spans="1:14">
      <c r="A80" s="142" t="s">
        <v>64</v>
      </c>
      <c r="B80" s="37" t="s">
        <v>149</v>
      </c>
      <c r="C80" s="37" t="s">
        <v>150</v>
      </c>
      <c r="D80" s="117" t="s">
        <v>105</v>
      </c>
      <c r="E80" s="30" t="s">
        <v>157</v>
      </c>
      <c r="F80" s="39">
        <f>'Offsite Waste'!B6</f>
        <v>0</v>
      </c>
      <c r="G80" s="129" t="e">
        <f>Table15[[#This Row],[CO2mte]]/IF('GHG Emissons Breakdown'!$F$14="Market-Based",Summary!$F$126,IF('GHG Emissons Breakdown'!$F$14="Location-Based",Summary!$F$125,FALSE))</f>
        <v>#DIV/0!</v>
      </c>
      <c r="L80" s="533" t="s">
        <v>92</v>
      </c>
      <c r="M80" s="551">
        <f>SUM(M19:M74)</f>
        <v>0</v>
      </c>
      <c r="N80" s="551" t="e">
        <f>SUM(N19:N74)</f>
        <v>#DIV/0!</v>
      </c>
    </row>
    <row r="81" spans="1:14">
      <c r="A81" s="142" t="s">
        <v>64</v>
      </c>
      <c r="B81" s="37" t="s">
        <v>149</v>
      </c>
      <c r="C81" s="37" t="s">
        <v>150</v>
      </c>
      <c r="D81" s="118" t="s">
        <v>105</v>
      </c>
      <c r="E81" s="30" t="s">
        <v>158</v>
      </c>
      <c r="F81" s="39">
        <f>'Offsite Waste'!B4</f>
        <v>0</v>
      </c>
      <c r="G81" s="130" t="e">
        <f>Table15[[#This Row],[CO2mte]]/IF('GHG Emissons Breakdown'!$F$14="Market-Based",Summary!$F$126,IF('GHG Emissons Breakdown'!$F$14="Location-Based",Summary!$F$125,FALSE))</f>
        <v>#DIV/0!</v>
      </c>
      <c r="I81" s="51"/>
      <c r="L81" s="552" t="s">
        <v>159</v>
      </c>
      <c r="M81" s="553">
        <f>SUM(M78:M80)</f>
        <v>0</v>
      </c>
      <c r="N81" s="553" t="e">
        <f>SUM(N78:N80)</f>
        <v>#DIV/0!</v>
      </c>
    </row>
    <row r="82" spans="1:14" ht="18.75">
      <c r="B82" s="109" t="s">
        <v>149</v>
      </c>
      <c r="C82" s="100" t="s">
        <v>160</v>
      </c>
      <c r="D82" s="100"/>
      <c r="E82" s="123" t="s">
        <v>133</v>
      </c>
      <c r="F82" s="98"/>
      <c r="G82" s="99"/>
      <c r="I82" s="51"/>
    </row>
    <row r="83" spans="1:14" ht="15.75">
      <c r="A83" s="142" t="s">
        <v>64</v>
      </c>
      <c r="B83" s="37" t="s">
        <v>149</v>
      </c>
      <c r="C83" s="37" t="s">
        <v>160</v>
      </c>
      <c r="D83" s="37" t="s">
        <v>135</v>
      </c>
      <c r="E83" s="29" t="s">
        <v>133</v>
      </c>
      <c r="F83" s="38">
        <f>SUM(F84:F89)</f>
        <v>0</v>
      </c>
      <c r="G83" s="704" t="e">
        <f>Table15[[#This Row],[CO2mte]]/IF('GHG Emissons Breakdown'!$F$14="Market-Based",Summary!$F$126,IF('GHG Emissons Breakdown'!$F$14="Location-Based",Summary!$F$125,FALSE))</f>
        <v>#DIV/0!</v>
      </c>
      <c r="I83" s="51"/>
    </row>
    <row r="84" spans="1:14">
      <c r="A84" s="142" t="s">
        <v>64</v>
      </c>
      <c r="B84" s="37" t="s">
        <v>149</v>
      </c>
      <c r="C84" s="37" t="s">
        <v>160</v>
      </c>
      <c r="D84" s="37" t="s">
        <v>135</v>
      </c>
      <c r="E84" s="30" t="s">
        <v>161</v>
      </c>
      <c r="F84" s="39">
        <f>'Business Travel'!B4</f>
        <v>0</v>
      </c>
      <c r="G84" s="130" t="e">
        <f>Table15[[#This Row],[CO2mte]]/IF('GHG Emissons Breakdown'!$F$14="Market-Based",Summary!$F$126,IF('GHG Emissons Breakdown'!$F$14="Location-Based",Summary!$F$125,FALSE))</f>
        <v>#DIV/0!</v>
      </c>
    </row>
    <row r="85" spans="1:14">
      <c r="A85" s="142" t="s">
        <v>64</v>
      </c>
      <c r="B85" s="37" t="s">
        <v>149</v>
      </c>
      <c r="C85" s="37" t="s">
        <v>160</v>
      </c>
      <c r="D85" s="37" t="s">
        <v>135</v>
      </c>
      <c r="E85" s="30" t="s">
        <v>162</v>
      </c>
      <c r="F85" s="39">
        <f>'Business Travel'!B5</f>
        <v>0</v>
      </c>
      <c r="G85" s="129" t="e">
        <f>Table15[[#This Row],[CO2mte]]/IF('GHG Emissons Breakdown'!$F$14="Market-Based",Summary!$F$126,IF('GHG Emissons Breakdown'!$F$14="Location-Based",Summary!$F$125,FALSE))</f>
        <v>#DIV/0!</v>
      </c>
    </row>
    <row r="86" spans="1:14">
      <c r="A86" s="142" t="s">
        <v>64</v>
      </c>
      <c r="B86" s="37" t="s">
        <v>149</v>
      </c>
      <c r="C86" s="37" t="s">
        <v>160</v>
      </c>
      <c r="D86" s="37" t="s">
        <v>135</v>
      </c>
      <c r="E86" s="30" t="s">
        <v>163</v>
      </c>
      <c r="F86" s="39">
        <f>'Business Travel'!B6</f>
        <v>0</v>
      </c>
      <c r="G86" s="130" t="e">
        <f>Table15[[#This Row],[CO2mte]]/IF('GHG Emissons Breakdown'!$F$14="Market-Based",Summary!$F$126,IF('GHG Emissons Breakdown'!$F$14="Location-Based",Summary!$F$125,FALSE))</f>
        <v>#DIV/0!</v>
      </c>
    </row>
    <row r="87" spans="1:14">
      <c r="A87" s="142" t="s">
        <v>64</v>
      </c>
      <c r="B87" s="37" t="s">
        <v>149</v>
      </c>
      <c r="C87" s="37" t="s">
        <v>160</v>
      </c>
      <c r="D87" s="37" t="s">
        <v>135</v>
      </c>
      <c r="E87" s="30" t="s">
        <v>164</v>
      </c>
      <c r="F87" s="39">
        <f>'Business Travel'!B7</f>
        <v>0</v>
      </c>
      <c r="G87" s="129" t="e">
        <f>Table15[[#This Row],[CO2mte]]/IF('GHG Emissons Breakdown'!$F$14="Market-Based",Summary!$F$126,IF('GHG Emissons Breakdown'!$F$14="Location-Based",Summary!$F$125,FALSE))</f>
        <v>#DIV/0!</v>
      </c>
    </row>
    <row r="88" spans="1:14">
      <c r="A88" s="142" t="s">
        <v>64</v>
      </c>
      <c r="B88" s="37" t="s">
        <v>149</v>
      </c>
      <c r="C88" s="37" t="s">
        <v>160</v>
      </c>
      <c r="D88" s="37" t="s">
        <v>135</v>
      </c>
      <c r="E88" s="30" t="s">
        <v>165</v>
      </c>
      <c r="F88" s="39">
        <f>'Business Travel'!B8</f>
        <v>0</v>
      </c>
      <c r="G88" s="130" t="e">
        <f>Table15[[#This Row],[CO2mte]]/IF('GHG Emissons Breakdown'!$F$14="Market-Based",Summary!$F$126,IF('GHG Emissons Breakdown'!$F$14="Location-Based",Summary!$F$125,FALSE))</f>
        <v>#DIV/0!</v>
      </c>
    </row>
    <row r="89" spans="1:14">
      <c r="A89" s="142"/>
      <c r="B89" s="37" t="s">
        <v>149</v>
      </c>
      <c r="C89" s="37" t="s">
        <v>160</v>
      </c>
      <c r="D89" s="37" t="s">
        <v>135</v>
      </c>
      <c r="E89" s="30" t="s">
        <v>166</v>
      </c>
      <c r="F89" s="39">
        <f>'Business Travel'!B9</f>
        <v>0</v>
      </c>
      <c r="G89" s="129" t="e">
        <f>Table15[[#This Row],[CO2mte]]/IF('GHG Emissons Breakdown'!$F$14="Market-Based",Summary!$F$126,IF('GHG Emissons Breakdown'!$F$14="Location-Based",Summary!$F$125,FALSE))</f>
        <v>#DIV/0!</v>
      </c>
    </row>
    <row r="90" spans="1:14" ht="18.75">
      <c r="B90" s="109" t="s">
        <v>149</v>
      </c>
      <c r="C90" s="100" t="s">
        <v>167</v>
      </c>
      <c r="D90" s="100"/>
      <c r="E90" s="123" t="s">
        <v>140</v>
      </c>
      <c r="F90" s="98"/>
      <c r="G90" s="99"/>
    </row>
    <row r="91" spans="1:14" ht="15.75">
      <c r="A91" s="142" t="s">
        <v>64</v>
      </c>
      <c r="B91" s="37" t="s">
        <v>149</v>
      </c>
      <c r="C91" s="37" t="s">
        <v>167</v>
      </c>
      <c r="D91" s="37" t="s">
        <v>135</v>
      </c>
      <c r="E91" s="29" t="s">
        <v>168</v>
      </c>
      <c r="F91" s="38">
        <f>'Employee Commuting'!B7</f>
        <v>0</v>
      </c>
      <c r="G91" s="94" t="e">
        <f>Table15[[#This Row],[CO2mte]]/F126</f>
        <v>#DIV/0!</v>
      </c>
    </row>
    <row r="92" spans="1:14" ht="18.75">
      <c r="B92" s="109" t="s">
        <v>102</v>
      </c>
      <c r="C92" s="100" t="s">
        <v>169</v>
      </c>
      <c r="D92" s="100"/>
      <c r="E92" s="123" t="s">
        <v>170</v>
      </c>
      <c r="F92" s="98"/>
      <c r="G92" s="99"/>
    </row>
    <row r="93" spans="1:14" ht="15.75">
      <c r="A93" s="142" t="s">
        <v>64</v>
      </c>
      <c r="B93" s="118" t="s">
        <v>102</v>
      </c>
      <c r="C93" s="118" t="s">
        <v>169</v>
      </c>
      <c r="D93" s="118" t="s">
        <v>105</v>
      </c>
      <c r="E93" s="29" t="s">
        <v>170</v>
      </c>
      <c r="F93" s="119" t="s">
        <v>171</v>
      </c>
      <c r="G93" s="132" t="s">
        <v>171</v>
      </c>
    </row>
    <row r="94" spans="1:14" ht="32.25">
      <c r="B94" s="109" t="s">
        <v>172</v>
      </c>
      <c r="C94" s="100" t="s">
        <v>173</v>
      </c>
      <c r="D94" s="100"/>
      <c r="E94" s="123" t="s">
        <v>174</v>
      </c>
      <c r="F94" s="98"/>
      <c r="G94" s="99"/>
    </row>
    <row r="95" spans="1:14" ht="15.75">
      <c r="A95" s="142" t="s">
        <v>64</v>
      </c>
      <c r="B95" s="37" t="s">
        <v>172</v>
      </c>
      <c r="C95" s="37" t="s">
        <v>173</v>
      </c>
      <c r="D95" s="37" t="s">
        <v>135</v>
      </c>
      <c r="E95" s="29" t="s">
        <v>143</v>
      </c>
      <c r="F95" s="38">
        <f>SUM(F96:F97)</f>
        <v>0</v>
      </c>
      <c r="G95" s="128" t="e">
        <f>Table15[[#This Row],[CO2mte]]/IF('GHG Emissons Breakdown'!$F$14="Market-Based",Summary!$F$126,IF('GHG Emissons Breakdown'!$F$14="Location-Based",Summary!$F$125,FALSE))</f>
        <v>#DIV/0!</v>
      </c>
    </row>
    <row r="96" spans="1:14">
      <c r="A96" s="142" t="s">
        <v>64</v>
      </c>
      <c r="B96" s="37" t="s">
        <v>172</v>
      </c>
      <c r="C96" s="37" t="s">
        <v>173</v>
      </c>
      <c r="D96" s="37" t="s">
        <v>135</v>
      </c>
      <c r="E96" s="30" t="s">
        <v>175</v>
      </c>
      <c r="F96" s="39">
        <f>SUM('Product Transport'!B5,'Product Transport'!B10,'Product Transport'!B8,'Product Transport'!B9)</f>
        <v>0</v>
      </c>
      <c r="G96" s="130" t="e">
        <f>Table15[[#This Row],[CO2mte]]/IF('GHG Emissons Breakdown'!$F$14="Market-Based",Summary!$F$126,IF('GHG Emissons Breakdown'!$F$14="Location-Based",Summary!$F$125,FALSE))</f>
        <v>#DIV/0!</v>
      </c>
    </row>
    <row r="97" spans="1:7" ht="15.75">
      <c r="A97" s="142" t="s">
        <v>64</v>
      </c>
      <c r="B97" s="37" t="s">
        <v>172</v>
      </c>
      <c r="C97" s="37" t="s">
        <v>173</v>
      </c>
      <c r="D97" s="37" t="s">
        <v>135</v>
      </c>
      <c r="E97" s="30" t="s">
        <v>176</v>
      </c>
      <c r="F97" s="39">
        <f>'Product Transport'!B6</f>
        <v>0</v>
      </c>
      <c r="G97" s="505" t="e">
        <f>Table15[[#This Row],[CO2mte]]/IF('GHG Emissons Breakdown'!$F$14="Market-Based",Summary!$F$126,IF('GHG Emissons Breakdown'!$F$14="Location-Based",Summary!$F$125,FALSE))</f>
        <v>#DIV/0!</v>
      </c>
    </row>
    <row r="98" spans="1:7" ht="18.75">
      <c r="B98" s="109" t="s">
        <v>172</v>
      </c>
      <c r="C98" s="100" t="s">
        <v>177</v>
      </c>
      <c r="D98" s="100"/>
      <c r="E98" s="123" t="s">
        <v>178</v>
      </c>
      <c r="F98" s="98"/>
      <c r="G98" s="99"/>
    </row>
    <row r="99" spans="1:7" ht="15.75">
      <c r="A99" s="142" t="s">
        <v>64</v>
      </c>
      <c r="B99" s="117" t="s">
        <v>172</v>
      </c>
      <c r="C99" s="117" t="s">
        <v>177</v>
      </c>
      <c r="D99" s="117" t="s">
        <v>150</v>
      </c>
      <c r="E99" s="29" t="s">
        <v>179</v>
      </c>
      <c r="F99" s="38">
        <f>SUM('Wine Storage Energy'!B5:B6)</f>
        <v>0</v>
      </c>
      <c r="G99" s="128" t="e">
        <f>Table15[[#This Row],[CO2mte]]/IF('GHG Emissons Breakdown'!$F$14="Market-Based",Summary!$F$126,IF('GHG Emissons Breakdown'!$F$14="Location-Based",Summary!$F$125,FALSE))</f>
        <v>#DIV/0!</v>
      </c>
    </row>
    <row r="100" spans="1:7" ht="18.75">
      <c r="B100" s="109" t="s">
        <v>172</v>
      </c>
      <c r="C100" s="100" t="s">
        <v>180</v>
      </c>
      <c r="D100" s="100"/>
      <c r="E100" s="123" t="s">
        <v>181</v>
      </c>
      <c r="F100" s="98"/>
      <c r="G100" s="99"/>
    </row>
    <row r="101" spans="1:7" ht="15.75">
      <c r="A101" s="142" t="s">
        <v>64</v>
      </c>
      <c r="B101" s="37" t="s">
        <v>172</v>
      </c>
      <c r="C101" s="37" t="s">
        <v>180</v>
      </c>
      <c r="D101" s="37" t="s">
        <v>150</v>
      </c>
      <c r="E101" s="29" t="s">
        <v>182</v>
      </c>
      <c r="F101" s="38">
        <f>'Wine Storage Energy'!B7</f>
        <v>0</v>
      </c>
      <c r="G101" s="128" t="e">
        <f>Table15[[#This Row],[CO2mte]]/IF('GHG Emissons Breakdown'!$F$14="Market-Based",Summary!$F$126,IF('GHG Emissons Breakdown'!$F$14="Location-Based",Summary!$F$125,FALSE))</f>
        <v>#DIV/0!</v>
      </c>
    </row>
    <row r="102" spans="1:7" ht="18.75">
      <c r="A102" s="142"/>
      <c r="B102" s="109" t="s">
        <v>172</v>
      </c>
      <c r="C102" s="100" t="s">
        <v>183</v>
      </c>
      <c r="D102" s="100"/>
      <c r="E102" s="123" t="s">
        <v>184</v>
      </c>
      <c r="F102" s="98"/>
      <c r="G102" s="99"/>
    </row>
    <row r="103" spans="1:7" ht="15.75">
      <c r="A103" s="142" t="s">
        <v>64</v>
      </c>
      <c r="B103" s="117" t="s">
        <v>172</v>
      </c>
      <c r="C103" s="117" t="s">
        <v>183</v>
      </c>
      <c r="D103" s="117" t="s">
        <v>150</v>
      </c>
      <c r="E103" s="29" t="s">
        <v>147</v>
      </c>
      <c r="F103" s="121">
        <f>SUM(F104:F105)</f>
        <v>0</v>
      </c>
      <c r="G103" s="128" t="e">
        <f>Table15[[#This Row],[CO2mte]]/IF('GHG Emissons Breakdown'!$F$14="Market-Based",Summary!$F$126,IF('GHG Emissons Breakdown'!$F$14="Location-Based",Summary!$F$125,FALSE))</f>
        <v>#DIV/0!</v>
      </c>
    </row>
    <row r="104" spans="1:7">
      <c r="A104" s="142" t="s">
        <v>64</v>
      </c>
      <c r="B104" s="118" t="s">
        <v>172</v>
      </c>
      <c r="C104" s="118" t="s">
        <v>183</v>
      </c>
      <c r="D104" s="118" t="s">
        <v>150</v>
      </c>
      <c r="E104" s="30" t="s">
        <v>185</v>
      </c>
      <c r="F104" s="120">
        <f>'Post Consumer Waste'!B5</f>
        <v>0</v>
      </c>
      <c r="G104" s="130" t="e">
        <f>Table15[[#This Row],[CO2mte]]/IF('GHG Emissons Breakdown'!$F$14="Market-Based",Summary!$F$126,IF('GHG Emissons Breakdown'!$F$14="Location-Based",Summary!$F$125,FALSE))</f>
        <v>#DIV/0!</v>
      </c>
    </row>
    <row r="105" spans="1:7" ht="15.75">
      <c r="A105" s="142" t="s">
        <v>64</v>
      </c>
      <c r="B105" s="117" t="s">
        <v>172</v>
      </c>
      <c r="C105" s="117" t="s">
        <v>183</v>
      </c>
      <c r="D105" s="117" t="s">
        <v>150</v>
      </c>
      <c r="E105" s="30" t="s">
        <v>186</v>
      </c>
      <c r="F105" s="122">
        <f>'Post Consumer Waste'!B6</f>
        <v>0</v>
      </c>
      <c r="G105" s="505" t="e">
        <f>Table15[[#This Row],[CO2mte]]/IF('GHG Emissons Breakdown'!$F$14="Market-Based",Summary!$F$126,IF('GHG Emissons Breakdown'!$F$14="Location-Based",Summary!$F$125,FALSE))</f>
        <v>#DIV/0!</v>
      </c>
    </row>
    <row r="106" spans="1:7" ht="18.75">
      <c r="B106" s="109" t="s">
        <v>172</v>
      </c>
      <c r="C106" s="100" t="s">
        <v>187</v>
      </c>
      <c r="D106" s="100"/>
      <c r="E106" s="123" t="s">
        <v>188</v>
      </c>
      <c r="F106" s="98"/>
      <c r="G106" s="99"/>
    </row>
    <row r="107" spans="1:7" ht="15.75">
      <c r="A107" s="141" t="s">
        <v>104</v>
      </c>
      <c r="B107" s="37" t="s">
        <v>172</v>
      </c>
      <c r="C107" s="37" t="s">
        <v>187</v>
      </c>
      <c r="D107" s="37" t="s">
        <v>150</v>
      </c>
      <c r="E107" s="29" t="s">
        <v>188</v>
      </c>
      <c r="F107" s="38" t="s">
        <v>171</v>
      </c>
      <c r="G107" s="94" t="s">
        <v>171</v>
      </c>
    </row>
    <row r="108" spans="1:7" ht="18.75">
      <c r="B108" s="109" t="s">
        <v>189</v>
      </c>
      <c r="C108" s="100" t="s">
        <v>190</v>
      </c>
      <c r="D108" s="100"/>
      <c r="E108" s="123" t="s">
        <v>189</v>
      </c>
      <c r="F108" s="98"/>
      <c r="G108" s="99"/>
    </row>
    <row r="109" spans="1:7" ht="15.75">
      <c r="A109" s="141" t="s">
        <v>104</v>
      </c>
      <c r="B109" s="117" t="s">
        <v>189</v>
      </c>
      <c r="C109" s="117" t="s">
        <v>190</v>
      </c>
      <c r="D109" s="117" t="s">
        <v>150</v>
      </c>
      <c r="E109" s="29" t="s">
        <v>189</v>
      </c>
      <c r="F109" s="121" t="s">
        <v>171</v>
      </c>
      <c r="G109" s="128" t="s">
        <v>171</v>
      </c>
    </row>
    <row r="110" spans="1:7" ht="18.75">
      <c r="B110" s="109" t="s">
        <v>191</v>
      </c>
      <c r="C110" s="100" t="s">
        <v>192</v>
      </c>
      <c r="D110" s="100"/>
      <c r="E110" s="123" t="s">
        <v>191</v>
      </c>
      <c r="F110" s="98"/>
      <c r="G110" s="99"/>
    </row>
    <row r="111" spans="1:7" ht="15.75">
      <c r="A111" s="141" t="s">
        <v>104</v>
      </c>
      <c r="B111" s="37" t="s">
        <v>191</v>
      </c>
      <c r="C111" s="37" t="s">
        <v>192</v>
      </c>
      <c r="D111" s="37" t="s">
        <v>150</v>
      </c>
      <c r="E111" s="29" t="s">
        <v>191</v>
      </c>
      <c r="F111" s="38" t="s">
        <v>171</v>
      </c>
      <c r="G111" s="94" t="s">
        <v>171</v>
      </c>
    </row>
    <row r="112" spans="1:7" ht="18.75">
      <c r="A112" s="141"/>
      <c r="B112" s="109" t="s">
        <v>149</v>
      </c>
      <c r="C112" s="100" t="s">
        <v>193</v>
      </c>
      <c r="D112" s="100"/>
      <c r="E112" s="123" t="s">
        <v>149</v>
      </c>
      <c r="F112" s="98"/>
      <c r="G112" s="99"/>
    </row>
    <row r="113" spans="1:10" ht="15.75">
      <c r="A113" s="142" t="s">
        <v>64</v>
      </c>
      <c r="B113" s="37" t="s">
        <v>149</v>
      </c>
      <c r="C113" s="37" t="s">
        <v>193</v>
      </c>
      <c r="D113" s="37" t="s">
        <v>135</v>
      </c>
      <c r="E113" s="31" t="s">
        <v>141</v>
      </c>
      <c r="F113" s="121">
        <f>'Tasting Room Traffic'!B5</f>
        <v>0</v>
      </c>
      <c r="G113" s="128" t="e">
        <f>Table15[[#This Row],[CO2mte]]/IF('GHG Emissons Breakdown'!$F$14="Market-Based",Summary!$F$126,IF('GHG Emissons Breakdown'!$F$14="Location-Based",Summary!$F$125,FALSE))</f>
        <v>#DIV/0!</v>
      </c>
    </row>
    <row r="114" spans="1:10" ht="15.75">
      <c r="A114" s="141" t="s">
        <v>104</v>
      </c>
      <c r="B114" s="37" t="s">
        <v>194</v>
      </c>
      <c r="C114" s="37" t="s">
        <v>195</v>
      </c>
      <c r="D114" s="479"/>
      <c r="E114" s="34" t="s">
        <v>196</v>
      </c>
      <c r="F114" s="38">
        <f>Winemaking!B4</f>
        <v>0</v>
      </c>
      <c r="G114" s="132" t="e">
        <f>Table15[[#This Row],[CO2mte]]/IF('GHG Emissons Breakdown'!$F$14="Market-Based",Summary!$F$126,IF('GHG Emissons Breakdown'!$F$14="Location-Based",Summary!$F$125,FALSE))</f>
        <v>#DIV/0!</v>
      </c>
    </row>
    <row r="115" spans="1:10" ht="15.75">
      <c r="A115" s="141" t="s">
        <v>104</v>
      </c>
      <c r="B115" s="37" t="s">
        <v>194</v>
      </c>
      <c r="C115" s="37" t="s">
        <v>197</v>
      </c>
      <c r="D115" s="479"/>
      <c r="E115" s="34" t="s">
        <v>198</v>
      </c>
      <c r="F115" s="38">
        <f>'Vineyard - Biomass Photosynth'!D5</f>
        <v>0</v>
      </c>
      <c r="G115" s="128" t="e">
        <f>Table15[[#This Row],[CO2mte]]/IF('GHG Emissons Breakdown'!$F$14="Market-Based",Summary!$F$126,IF('GHG Emissons Breakdown'!$F$14="Location-Based",Summary!$F$125,FALSE))</f>
        <v>#DIV/0!</v>
      </c>
    </row>
    <row r="116" spans="1:10" ht="15.75">
      <c r="A116" s="141" t="s">
        <v>104</v>
      </c>
      <c r="B116" s="37" t="s">
        <v>194</v>
      </c>
      <c r="C116" s="37" t="s">
        <v>199</v>
      </c>
      <c r="D116" s="479"/>
      <c r="E116" s="35" t="s">
        <v>200</v>
      </c>
      <c r="F116" s="38">
        <f>'Vineyard - Row Cropping'!A5</f>
        <v>0</v>
      </c>
      <c r="G116" s="132" t="e">
        <f>Table15[[#This Row],[CO2mte]]/IF('GHG Emissons Breakdown'!$F$14="Market-Based",Summary!$F$126,IF('GHG Emissons Breakdown'!$F$14="Location-Based",Summary!$F$125,FALSE))</f>
        <v>#DIV/0!</v>
      </c>
    </row>
    <row r="117" spans="1:10" ht="15.75">
      <c r="A117" s="141" t="s">
        <v>104</v>
      </c>
      <c r="B117" s="37" t="s">
        <v>194</v>
      </c>
      <c r="C117" s="37" t="s">
        <v>201</v>
      </c>
      <c r="D117" s="479"/>
      <c r="E117" s="34" t="s">
        <v>201</v>
      </c>
      <c r="F117" s="38">
        <f>'Compost Application'!B5</f>
        <v>0</v>
      </c>
      <c r="G117" s="128" t="e">
        <f>Table15[[#This Row],[CO2mte]]/IF('GHG Emissons Breakdown'!$F$14="Market-Based",Summary!$F$126,IF('GHG Emissons Breakdown'!$F$14="Location-Based",Summary!$F$125,FALSE))</f>
        <v>#DIV/0!</v>
      </c>
    </row>
    <row r="118" spans="1:10" ht="15.75">
      <c r="A118" s="141" t="s">
        <v>104</v>
      </c>
      <c r="B118" s="37" t="s">
        <v>194</v>
      </c>
      <c r="C118" s="37" t="s">
        <v>194</v>
      </c>
      <c r="D118" s="479"/>
      <c r="E118" s="42" t="s">
        <v>202</v>
      </c>
      <c r="F118" s="43">
        <f>SUM(F114:F117)</f>
        <v>0</v>
      </c>
      <c r="G118" s="507" t="e">
        <f>Table15[[#This Row],[CO2mte]]/IF('GHG Emissons Breakdown'!$F$14="Market-Based",Summary!$F$126,IF('GHG Emissons Breakdown'!$F$14="Location-Based",Summary!$F$125,FALSE))</f>
        <v>#DIV/0!</v>
      </c>
    </row>
    <row r="119" spans="1:10" ht="15.75">
      <c r="A119" s="142" t="s">
        <v>64</v>
      </c>
      <c r="B119" s="37" t="s">
        <v>203</v>
      </c>
      <c r="C119" s="37" t="s">
        <v>203</v>
      </c>
      <c r="D119" s="479"/>
      <c r="E119" s="42" t="s">
        <v>204</v>
      </c>
      <c r="F119" s="43">
        <f>'Biomass Burning'!B5</f>
        <v>0</v>
      </c>
      <c r="G119" s="507" t="e">
        <f>Table15[[#This Row],[CO2mte]]/IF('GHG Emissons Breakdown'!$F$14="Market-Based",Summary!$F$126,IF('GHG Emissons Breakdown'!$F$14="Location-Based",Summary!$F$125,FALSE))</f>
        <v>#DIV/0!</v>
      </c>
    </row>
    <row r="120" spans="1:10" ht="14.25" customHeight="1">
      <c r="B120" s="37" t="s">
        <v>205</v>
      </c>
      <c r="C120" s="37" t="s">
        <v>62</v>
      </c>
      <c r="D120" s="479"/>
      <c r="E120" s="36" t="s">
        <v>206</v>
      </c>
      <c r="F120" s="44">
        <f>SUM(F3,F8,F14,F17,F22,F23, F24,F25)</f>
        <v>0</v>
      </c>
      <c r="G120" s="132" t="e">
        <f>Table15[[#This Row],[CO2mte]]/IF('GHG Emissons Breakdown'!$F$14="Market-Based",Summary!$F$126,IF('GHG Emissons Breakdown'!$F$14="Location-Based",Summary!$F$125,FALSE))</f>
        <v>#DIV/0!</v>
      </c>
    </row>
    <row r="121" spans="1:10" s="7" customFormat="1" ht="15.75">
      <c r="B121" s="37" t="s">
        <v>205</v>
      </c>
      <c r="C121" s="37" t="s">
        <v>207</v>
      </c>
      <c r="D121" s="479"/>
      <c r="E121" s="36" t="s">
        <v>208</v>
      </c>
      <c r="F121" s="44">
        <f>F27</f>
        <v>0</v>
      </c>
      <c r="G121" s="94" t="e">
        <f>Table15[[#This Row],[CO2mte]]/$F$125</f>
        <v>#DIV/0!</v>
      </c>
      <c r="H121" s="21"/>
    </row>
    <row r="122" spans="1:10" ht="15.75">
      <c r="B122" s="37" t="s">
        <v>205</v>
      </c>
      <c r="C122" s="37" t="s">
        <v>209</v>
      </c>
      <c r="D122" s="479"/>
      <c r="E122" s="36" t="s">
        <v>210</v>
      </c>
      <c r="F122" s="44">
        <f>F28</f>
        <v>0</v>
      </c>
      <c r="G122" s="94" t="e">
        <f>Table15[[#This Row],[CO2mte]]/$F$126</f>
        <v>#DIV/0!</v>
      </c>
    </row>
    <row r="123" spans="1:10" ht="15.75">
      <c r="B123" s="37" t="s">
        <v>205</v>
      </c>
      <c r="C123" s="37" t="s">
        <v>211</v>
      </c>
      <c r="D123" s="479"/>
      <c r="E123" s="36" t="s">
        <v>212</v>
      </c>
      <c r="F123" s="44">
        <f>SUM(F31:F32,F48,F64,F69,F72:F75,F77,F83,F113,F91,F95,F99,F101,F103,F62)</f>
        <v>0</v>
      </c>
      <c r="G123" s="94" t="e">
        <f>Table15[[#This Row],[CO2mte]]/$F$125</f>
        <v>#DIV/0!</v>
      </c>
    </row>
    <row r="124" spans="1:10" ht="15.75">
      <c r="B124" s="37" t="s">
        <v>205</v>
      </c>
      <c r="C124" s="37" t="s">
        <v>213</v>
      </c>
      <c r="D124" s="479"/>
      <c r="E124" s="36" t="s">
        <v>214</v>
      </c>
      <c r="F124" s="430">
        <f>SUM(F31:F32,F48,F64,F70,F72:F75,F77,F83,F113,F91,F95,F99,F101,F103,F62)</f>
        <v>0</v>
      </c>
      <c r="G124" s="94" t="e">
        <f>Table15[[#This Row],[CO2mte]]/$F$126</f>
        <v>#DIV/0!</v>
      </c>
    </row>
    <row r="125" spans="1:10" ht="15.75">
      <c r="B125" s="37" t="s">
        <v>205</v>
      </c>
      <c r="C125" s="37" t="s">
        <v>215</v>
      </c>
      <c r="D125" s="479"/>
      <c r="E125" s="45" t="s">
        <v>216</v>
      </c>
      <c r="F125" s="44">
        <f>SUM(F120,F121,F123)</f>
        <v>0</v>
      </c>
      <c r="G125" s="94" t="e">
        <f>Table15[[#This Row],[CO2mte]]/$F$125</f>
        <v>#DIV/0!</v>
      </c>
    </row>
    <row r="126" spans="1:10" s="7" customFormat="1" ht="16.5" thickBot="1">
      <c r="B126" s="510" t="s">
        <v>205</v>
      </c>
      <c r="C126" s="510" t="s">
        <v>217</v>
      </c>
      <c r="D126" s="511"/>
      <c r="E126" s="512" t="s">
        <v>218</v>
      </c>
      <c r="F126" s="513">
        <f>SUM(F120,F122,F124)</f>
        <v>0</v>
      </c>
      <c r="G126" s="514" t="e">
        <f>Table15[[#This Row],[CO2mte]]/$F$126</f>
        <v>#DIV/0!</v>
      </c>
      <c r="H126" s="21"/>
      <c r="J126" s="133"/>
    </row>
    <row r="127" spans="1:10" s="7" customFormat="1" ht="15.75">
      <c r="B127" s="113" t="s">
        <v>205</v>
      </c>
      <c r="C127" s="480"/>
      <c r="D127" s="113" t="s">
        <v>219</v>
      </c>
      <c r="E127" s="481" t="s">
        <v>220</v>
      </c>
      <c r="F127" s="508">
        <f>SUM(F3,F8,F14,F17,F22,F23, F24,F25)</f>
        <v>0</v>
      </c>
      <c r="G127" s="509" t="e">
        <f>Table15[[#This Row],[CO2mte]]/IF('GHG Emissons Breakdown'!$F$14="Market-Based",Summary!$F$126,IF('GHG Emissons Breakdown'!$F$14="Location-Based",Summary!$F$125,FALSE))</f>
        <v>#DIV/0!</v>
      </c>
      <c r="H127" s="21"/>
      <c r="J127" s="133"/>
    </row>
    <row r="128" spans="1:10" s="7" customFormat="1" ht="15.75">
      <c r="B128" s="37" t="s">
        <v>205</v>
      </c>
      <c r="C128" s="482"/>
      <c r="D128" s="37" t="s">
        <v>221</v>
      </c>
      <c r="E128" s="483" t="s">
        <v>222</v>
      </c>
      <c r="F128" s="430">
        <f>F27</f>
        <v>0</v>
      </c>
      <c r="G128" s="94" t="e">
        <f>Table15[[#This Row],[CO2mte]]/$F$125</f>
        <v>#DIV/0!</v>
      </c>
      <c r="H128" s="21"/>
      <c r="I128" s="133"/>
    </row>
    <row r="129" spans="1:246" s="7" customFormat="1" ht="15.75">
      <c r="B129" s="37" t="s">
        <v>205</v>
      </c>
      <c r="C129" s="482"/>
      <c r="D129" s="37" t="s">
        <v>223</v>
      </c>
      <c r="E129" s="483" t="s">
        <v>224</v>
      </c>
      <c r="F129" s="430">
        <f>F28</f>
        <v>0</v>
      </c>
      <c r="G129" s="94" t="e">
        <f>Table15[[#This Row],[CO2mte]]/$F$126</f>
        <v>#DIV/0!</v>
      </c>
      <c r="H129" s="21"/>
      <c r="I129" s="133"/>
    </row>
    <row r="130" spans="1:246" s="7" customFormat="1" ht="15.75">
      <c r="B130" s="37" t="s">
        <v>205</v>
      </c>
      <c r="C130" s="482"/>
      <c r="D130" s="37" t="s">
        <v>225</v>
      </c>
      <c r="E130" s="483" t="s">
        <v>226</v>
      </c>
      <c r="F130" s="44">
        <f>SUM(F72:F75,F83,F91,F95,F113)</f>
        <v>0</v>
      </c>
      <c r="G130" s="132" t="e">
        <f>Table15[[#This Row],[CO2mte]]/IF('GHG Emissons Breakdown'!$F$14="Market-Based",Summary!$F$126,IF('GHG Emissons Breakdown'!$F$14="Location-Based",Summary!$F$125,FALSE))</f>
        <v>#DIV/0!</v>
      </c>
      <c r="H130" s="21"/>
    </row>
    <row r="131" spans="1:246" s="7" customFormat="1" ht="15.75">
      <c r="B131" s="37" t="s">
        <v>205</v>
      </c>
      <c r="C131" s="482"/>
      <c r="D131" s="37" t="s">
        <v>227</v>
      </c>
      <c r="E131" s="483" t="s">
        <v>228</v>
      </c>
      <c r="F131" s="44">
        <f>SUM(F31:F32,F48,F62,F64,F69,F77)</f>
        <v>0</v>
      </c>
      <c r="G131" s="94" t="e">
        <f>Table15[[#This Row],[CO2mte]]/$F$125</f>
        <v>#DIV/0!</v>
      </c>
      <c r="H131" s="21"/>
      <c r="J131" s="490"/>
      <c r="K131" s="490"/>
    </row>
    <row r="132" spans="1:246" s="7" customFormat="1" ht="15.75">
      <c r="B132" s="37" t="s">
        <v>205</v>
      </c>
      <c r="C132" s="482"/>
      <c r="D132" s="37" t="s">
        <v>229</v>
      </c>
      <c r="E132" s="483" t="s">
        <v>230</v>
      </c>
      <c r="F132" s="44">
        <f>SUM(F31:F32,F48,F62,F64,F70,F77)</f>
        <v>0</v>
      </c>
      <c r="G132" s="94" t="e">
        <f>Table15[[#This Row],[CO2mte]]/$F$126</f>
        <v>#DIV/0!</v>
      </c>
      <c r="H132" s="21"/>
      <c r="J132" s="497"/>
      <c r="K132" s="497"/>
    </row>
    <row r="133" spans="1:246" s="7" customFormat="1" ht="15.75">
      <c r="B133" s="37" t="s">
        <v>205</v>
      </c>
      <c r="C133" s="482"/>
      <c r="D133" s="37" t="s">
        <v>231</v>
      </c>
      <c r="E133" s="483" t="s">
        <v>232</v>
      </c>
      <c r="F133" s="44">
        <f>SUM(F99,F101,F103)</f>
        <v>0</v>
      </c>
      <c r="G133" s="128" t="e">
        <f>Table15[[#This Row],[CO2mte]]/IF('GHG Emissons Breakdown'!$F$14="Market-Based",Summary!$F$126,IF('GHG Emissons Breakdown'!$F$14="Location-Based",Summary!$F$125,FALSE))</f>
        <v>#DIV/0!</v>
      </c>
      <c r="H133" s="21"/>
      <c r="J133" s="503"/>
      <c r="K133" s="503"/>
    </row>
    <row r="134" spans="1:246" s="7" customFormat="1" ht="23.25">
      <c r="B134" s="484" t="s">
        <v>233</v>
      </c>
      <c r="C134" s="504"/>
      <c r="D134" s="485"/>
      <c r="E134" s="486"/>
      <c r="F134" s="487"/>
      <c r="G134" s="488"/>
      <c r="H134" s="489"/>
      <c r="I134" s="490"/>
    </row>
    <row r="135" spans="1:246" s="7" customFormat="1" ht="19.5">
      <c r="B135" s="573" t="s">
        <v>234</v>
      </c>
      <c r="C135" s="491"/>
      <c r="D135" s="492"/>
      <c r="E135" s="493"/>
      <c r="F135" s="494"/>
      <c r="G135" s="495"/>
      <c r="H135" s="496"/>
      <c r="I135" s="497"/>
    </row>
    <row r="136" spans="1:246" s="7" customFormat="1" ht="19.5">
      <c r="B136" s="574" t="s">
        <v>235</v>
      </c>
      <c r="C136" s="498"/>
      <c r="D136" s="498"/>
      <c r="E136" s="499"/>
      <c r="F136" s="500"/>
      <c r="G136" s="501"/>
      <c r="H136" s="502"/>
      <c r="I136" s="503"/>
      <c r="J136" s="688"/>
    </row>
    <row r="137" spans="1:246">
      <c r="B137" s="21"/>
      <c r="H137" s="7"/>
      <c r="J137" s="688"/>
      <c r="IG137"/>
      <c r="IH137"/>
      <c r="II137"/>
      <c r="IJ137"/>
      <c r="IK137"/>
      <c r="IL137"/>
    </row>
    <row r="138" spans="1:246" ht="14.45" customHeight="1">
      <c r="A138" s="688" t="s">
        <v>236</v>
      </c>
      <c r="B138" s="688"/>
      <c r="C138" s="688"/>
      <c r="D138" s="688"/>
      <c r="E138" s="688"/>
      <c r="F138" s="688"/>
      <c r="G138" s="688"/>
      <c r="H138" s="688"/>
      <c r="I138" s="688"/>
      <c r="IG138"/>
      <c r="IH138"/>
      <c r="II138"/>
      <c r="IJ138"/>
      <c r="IK138"/>
      <c r="IL138"/>
    </row>
    <row r="139" spans="1:246" ht="21" customHeight="1">
      <c r="A139" s="688"/>
      <c r="B139" s="688"/>
      <c r="C139" s="688"/>
      <c r="D139" s="688"/>
      <c r="E139" s="688"/>
      <c r="F139" s="688"/>
      <c r="G139" s="688"/>
      <c r="H139" s="688"/>
      <c r="I139" s="688"/>
      <c r="IG139"/>
      <c r="IH139"/>
      <c r="II139"/>
      <c r="IJ139"/>
      <c r="IK139"/>
      <c r="IL139"/>
    </row>
    <row r="140" spans="1:246" ht="12.6" customHeight="1">
      <c r="IG140"/>
      <c r="IH140"/>
      <c r="II140"/>
      <c r="IJ140"/>
      <c r="IK140"/>
      <c r="IL140"/>
    </row>
    <row r="141" spans="1:246" ht="31.5">
      <c r="B141" s="1596" t="s">
        <v>237</v>
      </c>
      <c r="C141" s="1597"/>
      <c r="D141" s="1597"/>
      <c r="E141" s="1597"/>
      <c r="F141" s="1597"/>
      <c r="G141" s="1597"/>
      <c r="H141" s="1597"/>
      <c r="I141" s="1598"/>
      <c r="IG141"/>
      <c r="IH141"/>
      <c r="II141"/>
      <c r="IJ141"/>
      <c r="IK141"/>
      <c r="IL141"/>
    </row>
    <row r="142" spans="1:246" ht="43.5" customHeight="1">
      <c r="A142" s="104"/>
      <c r="B142" s="561" t="s">
        <v>238</v>
      </c>
      <c r="C142" s="561" t="s">
        <v>239</v>
      </c>
      <c r="D142" s="561" t="s">
        <v>240</v>
      </c>
      <c r="E142" s="1601" t="s">
        <v>241</v>
      </c>
      <c r="F142" s="1602"/>
      <c r="G142" s="1601" t="s">
        <v>242</v>
      </c>
      <c r="H142" s="1602"/>
      <c r="I142" s="561" t="s">
        <v>243</v>
      </c>
      <c r="IG142"/>
      <c r="IH142"/>
      <c r="II142"/>
      <c r="IJ142"/>
      <c r="IK142"/>
      <c r="IL142"/>
    </row>
    <row r="143" spans="1:246" ht="29.1" customHeight="1">
      <c r="A143" s="47" t="s">
        <v>244</v>
      </c>
      <c r="B143" s="562">
        <f>'Audit Summary Form'!$H$13</f>
        <v>2023</v>
      </c>
      <c r="C143" s="563" t="s">
        <v>245</v>
      </c>
      <c r="D143" s="563" t="s">
        <v>245</v>
      </c>
      <c r="E143" s="1603">
        <f>'Audit Summary Form'!$H$12</f>
        <v>2023</v>
      </c>
      <c r="F143" s="1604"/>
      <c r="G143" s="1605" t="s">
        <v>245</v>
      </c>
      <c r="H143" s="1606"/>
      <c r="I143" s="563" t="s">
        <v>246</v>
      </c>
      <c r="IG143"/>
      <c r="IH143"/>
      <c r="II143"/>
      <c r="IJ143"/>
      <c r="IK143"/>
      <c r="IL143"/>
    </row>
    <row r="144" spans="1:246">
      <c r="A144" s="47" t="s">
        <v>247</v>
      </c>
      <c r="B144" s="568">
        <f>'Audit Summary Form'!$G$65</f>
        <v>0</v>
      </c>
      <c r="C144" s="564">
        <v>477.7</v>
      </c>
      <c r="D144" s="563">
        <v>4782.9777787298872</v>
      </c>
      <c r="E144" s="1599">
        <f>'Audit Summary Form'!$E$65</f>
        <v>0</v>
      </c>
      <c r="F144" s="1600"/>
      <c r="G144" s="1613">
        <v>988.66666666666663</v>
      </c>
      <c r="H144" s="1614"/>
      <c r="I144" s="563">
        <v>9576.0614901188546</v>
      </c>
      <c r="IG144"/>
      <c r="IH144"/>
      <c r="II144"/>
      <c r="IJ144"/>
      <c r="IK144"/>
      <c r="IL144"/>
    </row>
    <row r="145" spans="1:246">
      <c r="A145" s="47" t="s">
        <v>248</v>
      </c>
      <c r="B145" s="568">
        <f>IF('GHG Emissons Breakdown'!$F$14="Location-based",'Audit Summary Form'!$G$66,"NA")</f>
        <v>0</v>
      </c>
      <c r="C145" s="565">
        <v>655.81000000000006</v>
      </c>
      <c r="D145" s="563">
        <v>2522.8813078054663</v>
      </c>
      <c r="E145" s="1599">
        <f>IF('GHG Emissons Breakdown'!$F$14="Location-based",'Audit Summary Form'!$E$66,"NA")</f>
        <v>0</v>
      </c>
      <c r="F145" s="1600"/>
      <c r="G145" s="1615">
        <v>277.66666666666669</v>
      </c>
      <c r="H145" s="1616"/>
      <c r="I145" s="563">
        <v>3883.0924752249998</v>
      </c>
      <c r="IG145"/>
      <c r="IH145"/>
      <c r="II145"/>
      <c r="IJ145"/>
      <c r="IK145"/>
      <c r="IL145"/>
    </row>
    <row r="146" spans="1:246" s="7" customFormat="1">
      <c r="A146" s="47" t="s">
        <v>249</v>
      </c>
      <c r="B146" s="566">
        <f>IF('GHG Emissons Breakdown'!$F$14="Location-based",'Audit Summary Form'!$G$67,"NA")</f>
        <v>0</v>
      </c>
      <c r="C146" s="565">
        <v>3256.3333333333335</v>
      </c>
      <c r="D146" s="563">
        <v>55726.105676496503</v>
      </c>
      <c r="E146" s="1599">
        <f>IF('GHG Emissons Breakdown'!$F$14="Location-based",'Audit Summary Form'!$E$67,"NA")</f>
        <v>0</v>
      </c>
      <c r="F146" s="1600"/>
      <c r="G146" s="1615">
        <v>2263</v>
      </c>
      <c r="H146" s="1616"/>
      <c r="I146" s="563">
        <v>75771.677740756873</v>
      </c>
    </row>
    <row r="147" spans="1:246" s="7" customFormat="1" ht="30">
      <c r="A147" s="47" t="s">
        <v>250</v>
      </c>
      <c r="B147" s="568">
        <f>IF('GHG Emissons Breakdown'!$F$14="Location-based",'Audit Summary Form'!$G$68,"NA")</f>
        <v>0</v>
      </c>
      <c r="C147" s="565">
        <v>4389.8433333333332</v>
      </c>
      <c r="D147" s="563">
        <v>63031.964763031858</v>
      </c>
      <c r="E147" s="1599">
        <f>IF('GHG Emissons Breakdown'!$F$14="Location-based",'Audit Summary Form'!$E$68,"NA")</f>
        <v>0</v>
      </c>
      <c r="F147" s="1600"/>
      <c r="G147" s="1605">
        <v>3529.3333333333298</v>
      </c>
      <c r="H147" s="1606"/>
      <c r="I147" s="563">
        <v>89230.831706100726</v>
      </c>
      <c r="J147" s="571"/>
    </row>
    <row r="148" spans="1:246" s="7" customFormat="1" ht="30">
      <c r="A148" s="1529" t="s">
        <v>251</v>
      </c>
      <c r="B148" s="566">
        <f>'Audit Summary Form'!$G$70</f>
        <v>0</v>
      </c>
      <c r="C148" s="563">
        <v>962332.66666666663</v>
      </c>
      <c r="D148" s="567">
        <v>36162593.75</v>
      </c>
      <c r="E148" s="1599">
        <f>'Audit Summary Form'!$E$70</f>
        <v>0</v>
      </c>
      <c r="F148" s="1600"/>
      <c r="G148" s="1605">
        <v>1674197.5</v>
      </c>
      <c r="H148" s="1606"/>
      <c r="I148" s="563">
        <v>62961433.607756026</v>
      </c>
    </row>
    <row r="149" spans="1:246" s="7" customFormat="1" ht="45">
      <c r="A149" s="1529" t="s">
        <v>252</v>
      </c>
      <c r="B149" s="568">
        <f>B148/9</f>
        <v>0</v>
      </c>
      <c r="C149" s="563">
        <f>C148/9</f>
        <v>106925.85185185185</v>
      </c>
      <c r="D149" s="563">
        <f>D148/9</f>
        <v>4018065.972222222</v>
      </c>
      <c r="E149" s="1599">
        <f>E148/9</f>
        <v>0</v>
      </c>
      <c r="F149" s="1600"/>
      <c r="G149" s="1605">
        <f>G148/9</f>
        <v>186021.94444444444</v>
      </c>
      <c r="H149" s="1606"/>
      <c r="I149" s="563">
        <f>I148/9</f>
        <v>6995714.8453062251</v>
      </c>
    </row>
    <row r="150" spans="1:246" s="7" customFormat="1" ht="48">
      <c r="A150" s="47" t="s">
        <v>253</v>
      </c>
      <c r="B150" s="569" t="e">
        <f>B147*1000/B148</f>
        <v>#DIV/0!</v>
      </c>
      <c r="C150" s="570">
        <v>2.4779540826240147</v>
      </c>
      <c r="D150" s="570">
        <v>2.281566087190372</v>
      </c>
      <c r="E150" s="1609" t="e">
        <f>E147*1000/E148</f>
        <v>#DIV/0!</v>
      </c>
      <c r="F150" s="1610"/>
      <c r="G150" s="1611">
        <v>2.6492059348114498</v>
      </c>
      <c r="H150" s="1612"/>
      <c r="I150" s="570">
        <v>1.6252178190381188</v>
      </c>
    </row>
    <row r="151" spans="1:246" s="7" customFormat="1" ht="43.5" customHeight="1">
      <c r="A151" s="571"/>
      <c r="B151" s="571"/>
      <c r="C151" s="48" t="s">
        <v>254</v>
      </c>
      <c r="D151" s="48" t="s">
        <v>255</v>
      </c>
      <c r="E151" s="571"/>
      <c r="F151" s="571"/>
      <c r="G151" s="1607" t="s">
        <v>256</v>
      </c>
      <c r="H151" s="1608"/>
      <c r="I151" s="48" t="s">
        <v>257</v>
      </c>
    </row>
    <row r="152" spans="1:246" s="7" customFormat="1" ht="29.1" hidden="1" customHeight="1">
      <c r="H152" s="572"/>
    </row>
    <row r="153" spans="1:246" s="7" customFormat="1" ht="31.5" hidden="1">
      <c r="B153" s="1596" t="s">
        <v>258</v>
      </c>
      <c r="C153" s="1597"/>
      <c r="D153" s="1597"/>
      <c r="E153" s="1597"/>
      <c r="F153" s="1597"/>
      <c r="G153" s="1597"/>
      <c r="H153" s="1597"/>
      <c r="I153" s="1598"/>
    </row>
    <row r="154" spans="1:246" s="7" customFormat="1" ht="43.5" hidden="1" customHeight="1">
      <c r="A154" s="104"/>
      <c r="B154" s="561" t="s">
        <v>238</v>
      </c>
      <c r="C154" s="561" t="s">
        <v>239</v>
      </c>
      <c r="D154" s="561" t="s">
        <v>240</v>
      </c>
      <c r="E154" s="1601" t="s">
        <v>241</v>
      </c>
      <c r="F154" s="1602"/>
      <c r="G154" s="1601" t="s">
        <v>242</v>
      </c>
      <c r="H154" s="1602"/>
      <c r="I154" s="561" t="s">
        <v>243</v>
      </c>
    </row>
    <row r="155" spans="1:246" s="7" customFormat="1" ht="29.1" hidden="1" customHeight="1">
      <c r="A155" s="47" t="s">
        <v>244</v>
      </c>
      <c r="B155" s="562">
        <f>'Audit Summary Form'!$H$13</f>
        <v>2023</v>
      </c>
      <c r="C155" s="563" t="s">
        <v>245</v>
      </c>
      <c r="D155" s="563" t="s">
        <v>245</v>
      </c>
      <c r="E155" s="1603">
        <f>'Audit Summary Form'!$H$12</f>
        <v>2023</v>
      </c>
      <c r="F155" s="1604"/>
      <c r="G155" s="1605" t="s">
        <v>245</v>
      </c>
      <c r="H155" s="1606"/>
      <c r="I155" s="563" t="s">
        <v>246</v>
      </c>
    </row>
    <row r="156" spans="1:246" s="7" customFormat="1" hidden="1">
      <c r="A156" s="47" t="s">
        <v>247</v>
      </c>
      <c r="B156" s="568">
        <f>'Audit Summary Form'!$G$65</f>
        <v>0</v>
      </c>
      <c r="C156" s="563">
        <v>748.46857306276138</v>
      </c>
      <c r="D156" s="563">
        <v>7943.7226958197753</v>
      </c>
      <c r="E156" s="1599">
        <f>'Audit Summary Form'!$E$65</f>
        <v>0</v>
      </c>
      <c r="F156" s="1600"/>
      <c r="G156" s="1605">
        <v>1103.25</v>
      </c>
      <c r="H156" s="1606"/>
      <c r="I156" s="563">
        <v>11460.656412702005</v>
      </c>
    </row>
    <row r="157" spans="1:246" s="7" customFormat="1" hidden="1">
      <c r="A157" s="47" t="s">
        <v>248</v>
      </c>
      <c r="B157" s="568" t="str">
        <f>IF('GHG Emissons Breakdown'!$F$14="Market-based",'Audit Summary Form'!$G$66,"NA")</f>
        <v>NA</v>
      </c>
      <c r="C157" s="563">
        <v>367.88004635733</v>
      </c>
      <c r="D157" s="563">
        <v>3437.3918787499997</v>
      </c>
      <c r="E157" s="1599" t="str">
        <f>IF('GHG Emissons Breakdown'!$F$14="Market-based",'Audit Summary Form'!$E$66,"NA")</f>
        <v>NA</v>
      </c>
      <c r="F157" s="1600"/>
      <c r="G157" s="1605">
        <v>139.25</v>
      </c>
      <c r="H157" s="1606"/>
      <c r="I157" s="563">
        <v>1650.9772391843399</v>
      </c>
    </row>
    <row r="158" spans="1:246" s="7" customFormat="1" hidden="1">
      <c r="A158" s="47" t="s">
        <v>249</v>
      </c>
      <c r="B158" s="566" t="str">
        <f>IF('GHG Emissons Breakdown'!$F$14="Market-based",'Audit Summary Form'!$G$67,"NA")</f>
        <v>NA</v>
      </c>
      <c r="C158" s="563">
        <v>3292.3307915883543</v>
      </c>
      <c r="D158" s="563">
        <v>67236.372766267101</v>
      </c>
      <c r="E158" s="1599" t="str">
        <f>IF('GHG Emissons Breakdown'!$F$14="Market-based",'Audit Summary Form'!$E$67,"NA")</f>
        <v>NA</v>
      </c>
      <c r="F158" s="1600"/>
      <c r="G158" s="1605">
        <v>2610.75</v>
      </c>
      <c r="H158" s="1606"/>
      <c r="I158" s="563">
        <v>82836.078565340387</v>
      </c>
    </row>
    <row r="159" spans="1:246" s="7" customFormat="1" ht="30" hidden="1">
      <c r="A159" s="47" t="s">
        <v>250</v>
      </c>
      <c r="B159" s="568" t="str">
        <f>IF('GHG Emissons Breakdown'!$F$14="Market-based",'Audit Summary Form'!$G$68,"NA")</f>
        <v>NA</v>
      </c>
      <c r="C159" s="563">
        <v>4408.6794110084456</v>
      </c>
      <c r="D159" s="563">
        <v>78617.487340836873</v>
      </c>
      <c r="E159" s="1599" t="str">
        <f>IF('GHG Emissons Breakdown'!$F$14="Market-based",'Audit Summary Form'!$E$68,"NA")</f>
        <v>NA</v>
      </c>
      <c r="F159" s="1600"/>
      <c r="G159" s="1605">
        <v>3853.25</v>
      </c>
      <c r="H159" s="1606"/>
      <c r="I159" s="563">
        <v>95947.712217226726</v>
      </c>
      <c r="J159" s="571"/>
    </row>
    <row r="160" spans="1:246" s="7" customFormat="1" ht="30" hidden="1">
      <c r="A160" s="47" t="s">
        <v>259</v>
      </c>
      <c r="B160" s="566">
        <f>'Audit Summary Form'!$G$70</f>
        <v>0</v>
      </c>
      <c r="C160" s="563">
        <v>1832570.2763636364</v>
      </c>
      <c r="D160" s="563">
        <v>50721545.924999997</v>
      </c>
      <c r="E160" s="1599">
        <f>'Audit Summary Form'!$E$70</f>
        <v>0</v>
      </c>
      <c r="F160" s="1600"/>
      <c r="G160" s="1605">
        <v>2119957.0150000001</v>
      </c>
      <c r="H160" s="1606"/>
      <c r="I160" s="563">
        <v>72119662.173341334</v>
      </c>
      <c r="J160" s="1"/>
    </row>
    <row r="161" spans="1:10" s="7" customFormat="1" ht="30" hidden="1">
      <c r="A161" s="47" t="s">
        <v>260</v>
      </c>
      <c r="B161" s="568">
        <f>B160/9</f>
        <v>0</v>
      </c>
      <c r="C161" s="563">
        <f>C160/9</f>
        <v>203618.9195959596</v>
      </c>
      <c r="D161" s="563">
        <f>D160/9</f>
        <v>5635727.3249999993</v>
      </c>
      <c r="E161" s="1599">
        <f>E160/9</f>
        <v>0</v>
      </c>
      <c r="F161" s="1600"/>
      <c r="G161" s="1605">
        <f>G160/9</f>
        <v>235550.77944444446</v>
      </c>
      <c r="H161" s="1606"/>
      <c r="I161" s="563">
        <f>I160/9</f>
        <v>8013295.7970379256</v>
      </c>
    </row>
    <row r="162" spans="1:10" s="7" customFormat="1" ht="14.45" hidden="1" customHeight="1">
      <c r="A162" s="47" t="s">
        <v>253</v>
      </c>
      <c r="B162" s="569" t="e">
        <f>B159*1000/B160</f>
        <v>#VALUE!</v>
      </c>
      <c r="C162" s="570">
        <v>3.0650396708740222</v>
      </c>
      <c r="D162" s="570">
        <v>1.9289581588331812</v>
      </c>
      <c r="E162" s="1609" t="e">
        <f>E159*1000/E160</f>
        <v>#VALUE!</v>
      </c>
      <c r="F162" s="1610"/>
      <c r="G162" s="1611">
        <v>1.6694649690090699</v>
      </c>
      <c r="H162" s="1612"/>
      <c r="I162" s="570">
        <v>1.559863243469968</v>
      </c>
      <c r="J162" s="1"/>
    </row>
    <row r="163" spans="1:10" s="7" customFormat="1" hidden="1">
      <c r="A163" s="571"/>
      <c r="B163" s="571"/>
      <c r="C163" s="48" t="s">
        <v>261</v>
      </c>
      <c r="D163" s="48" t="s">
        <v>257</v>
      </c>
      <c r="E163" s="571"/>
      <c r="F163" s="571"/>
      <c r="G163" s="1607" t="s">
        <v>257</v>
      </c>
      <c r="H163" s="1608"/>
      <c r="I163" s="48" t="s">
        <v>256</v>
      </c>
    </row>
    <row r="164" spans="1:10" s="7" customFormat="1" hidden="1">
      <c r="A164" s="1"/>
      <c r="B164" s="1"/>
      <c r="C164" s="1"/>
      <c r="D164" s="1"/>
      <c r="E164" s="1"/>
      <c r="F164" s="1"/>
      <c r="G164" s="1"/>
      <c r="H164" s="1"/>
      <c r="I164" s="1"/>
    </row>
    <row r="165" spans="1:10" s="7" customFormat="1" ht="14.45" customHeight="1"/>
    <row r="166" spans="1:10" s="7" customFormat="1"/>
    <row r="167" spans="1:10" s="7" customFormat="1">
      <c r="H167" s="21"/>
    </row>
    <row r="168" spans="1:10" s="7" customFormat="1">
      <c r="H168" s="21"/>
    </row>
    <row r="169" spans="1:10" s="7" customFormat="1">
      <c r="H169" s="21"/>
    </row>
    <row r="170" spans="1:10" s="7" customFormat="1">
      <c r="H170" s="21"/>
    </row>
    <row r="171" spans="1:10" s="7" customFormat="1">
      <c r="H171" s="21"/>
    </row>
    <row r="172" spans="1:10" s="7" customFormat="1">
      <c r="H172" s="21"/>
    </row>
    <row r="173" spans="1:10" s="7" customFormat="1">
      <c r="H173" s="21"/>
    </row>
    <row r="174" spans="1:10" s="7" customFormat="1">
      <c r="H174" s="21"/>
    </row>
    <row r="175" spans="1:10" s="7" customFormat="1">
      <c r="H175" s="21"/>
    </row>
    <row r="176" spans="1:10" s="7" customFormat="1">
      <c r="H176" s="21"/>
    </row>
    <row r="177" spans="8:11" s="7" customFormat="1">
      <c r="H177" s="21"/>
    </row>
    <row r="178" spans="8:11" s="7" customFormat="1">
      <c r="H178" s="21"/>
    </row>
    <row r="179" spans="8:11" s="7" customFormat="1">
      <c r="H179" s="21"/>
    </row>
    <row r="180" spans="8:11" s="7" customFormat="1">
      <c r="H180" s="21"/>
    </row>
    <row r="181" spans="8:11" s="7" customFormat="1">
      <c r="H181" s="21"/>
    </row>
    <row r="182" spans="8:11" s="7" customFormat="1">
      <c r="H182" s="21"/>
    </row>
    <row r="183" spans="8:11" s="7" customFormat="1">
      <c r="H183" s="21"/>
    </row>
    <row r="184" spans="8:11" s="7" customFormat="1">
      <c r="H184" s="21"/>
    </row>
    <row r="185" spans="8:11" s="7" customFormat="1">
      <c r="H185" s="21"/>
    </row>
    <row r="186" spans="8:11" s="7" customFormat="1">
      <c r="H186" s="21"/>
    </row>
    <row r="187" spans="8:11" s="7" customFormat="1">
      <c r="H187" s="21"/>
    </row>
    <row r="188" spans="8:11" s="7" customFormat="1">
      <c r="H188" s="21"/>
    </row>
    <row r="189" spans="8:11" s="7" customFormat="1">
      <c r="H189" s="21"/>
    </row>
    <row r="190" spans="8:11" s="7" customFormat="1">
      <c r="H190" s="21"/>
    </row>
    <row r="191" spans="8:11" s="7" customFormat="1">
      <c r="H191" s="21"/>
    </row>
    <row r="192" spans="8:11" s="7" customFormat="1">
      <c r="H192" s="21"/>
    </row>
    <row r="193" spans="8:8" s="7" customFormat="1">
      <c r="H193" s="21"/>
    </row>
    <row r="194" spans="8:8" s="7" customFormat="1">
      <c r="H194" s="21"/>
    </row>
    <row r="195" spans="8:8" s="7" customFormat="1">
      <c r="H195" s="21"/>
    </row>
    <row r="196" spans="8:8" s="7" customFormat="1">
      <c r="H196" s="21"/>
    </row>
    <row r="197" spans="8:8" s="7" customFormat="1">
      <c r="H197" s="21"/>
    </row>
    <row r="198" spans="8:8" s="7" customFormat="1">
      <c r="H198" s="21"/>
    </row>
    <row r="199" spans="8:8" s="7" customFormat="1">
      <c r="H199" s="21"/>
    </row>
    <row r="200" spans="8:8" s="7" customFormat="1">
      <c r="H200" s="21"/>
    </row>
    <row r="201" spans="8:8" s="7" customFormat="1">
      <c r="H201" s="21"/>
    </row>
    <row r="202" spans="8:8" s="7" customFormat="1">
      <c r="H202" s="21"/>
    </row>
    <row r="203" spans="8:8" s="7" customFormat="1">
      <c r="H203" s="21"/>
    </row>
    <row r="204" spans="8:8" s="7" customFormat="1">
      <c r="H204" s="21"/>
    </row>
    <row r="205" spans="8:8" s="7" customFormat="1">
      <c r="H205" s="21"/>
    </row>
    <row r="206" spans="8:8" s="7" customFormat="1">
      <c r="H206" s="21"/>
    </row>
    <row r="207" spans="8:8" s="7" customFormat="1">
      <c r="H207" s="21"/>
    </row>
    <row r="208" spans="8:8" s="7" customFormat="1">
      <c r="H208" s="21"/>
    </row>
    <row r="209" spans="8:8" s="7" customFormat="1">
      <c r="H209" s="21"/>
    </row>
    <row r="210" spans="8:8" s="7" customFormat="1">
      <c r="H210" s="21"/>
    </row>
    <row r="211" spans="8:8" s="7" customFormat="1">
      <c r="H211" s="21"/>
    </row>
    <row r="212" spans="8:8" s="7" customFormat="1">
      <c r="H212" s="21"/>
    </row>
    <row r="213" spans="8:8" s="7" customFormat="1">
      <c r="H213" s="21"/>
    </row>
    <row r="214" spans="8:8" s="7" customFormat="1">
      <c r="H214" s="21"/>
    </row>
    <row r="215" spans="8:8" s="7" customFormat="1">
      <c r="H215" s="21"/>
    </row>
    <row r="216" spans="8:8" s="7" customFormat="1">
      <c r="H216" s="21"/>
    </row>
    <row r="217" spans="8:8" s="7" customFormat="1">
      <c r="H217" s="21"/>
    </row>
    <row r="218" spans="8:8" s="7" customFormat="1">
      <c r="H218" s="21"/>
    </row>
    <row r="219" spans="8:8" s="7" customFormat="1">
      <c r="H219" s="21"/>
    </row>
    <row r="220" spans="8:8" s="7" customFormat="1">
      <c r="H220" s="21"/>
    </row>
    <row r="257" spans="7:12">
      <c r="G257" s="1506"/>
      <c r="H257" s="1508"/>
      <c r="I257" s="1506"/>
    </row>
    <row r="261" spans="7:12">
      <c r="G261" s="1509"/>
      <c r="H261" s="1510"/>
      <c r="I261" s="1509"/>
      <c r="J261" s="1509"/>
    </row>
    <row r="265" spans="7:12">
      <c r="G265" s="1511"/>
      <c r="H265" s="1512"/>
      <c r="I265" s="1511"/>
      <c r="J265" s="1511"/>
      <c r="K265" s="1511"/>
      <c r="L265" s="1511"/>
    </row>
    <row r="270" spans="7:12">
      <c r="J270" s="1513"/>
      <c r="K270" s="1513"/>
      <c r="L270" s="1513"/>
    </row>
  </sheetData>
  <mergeCells count="40">
    <mergeCell ref="E148:F148"/>
    <mergeCell ref="E149:F149"/>
    <mergeCell ref="E150:F150"/>
    <mergeCell ref="G144:H144"/>
    <mergeCell ref="G145:H145"/>
    <mergeCell ref="G146:H146"/>
    <mergeCell ref="E146:F146"/>
    <mergeCell ref="E147:F147"/>
    <mergeCell ref="E161:F161"/>
    <mergeCell ref="E162:F162"/>
    <mergeCell ref="G163:H163"/>
    <mergeCell ref="G148:H148"/>
    <mergeCell ref="G149:H149"/>
    <mergeCell ref="G150:H150"/>
    <mergeCell ref="G160:H160"/>
    <mergeCell ref="G161:H161"/>
    <mergeCell ref="G162:H162"/>
    <mergeCell ref="G158:H158"/>
    <mergeCell ref="G159:H159"/>
    <mergeCell ref="E160:F160"/>
    <mergeCell ref="G155:H155"/>
    <mergeCell ref="G156:H156"/>
    <mergeCell ref="G157:H157"/>
    <mergeCell ref="G154:H154"/>
    <mergeCell ref="B141:I141"/>
    <mergeCell ref="E159:F159"/>
    <mergeCell ref="E154:F154"/>
    <mergeCell ref="E155:F155"/>
    <mergeCell ref="E156:F156"/>
    <mergeCell ref="E157:F157"/>
    <mergeCell ref="E158:F158"/>
    <mergeCell ref="E142:F142"/>
    <mergeCell ref="E143:F143"/>
    <mergeCell ref="E144:F144"/>
    <mergeCell ref="E145:F145"/>
    <mergeCell ref="G142:H142"/>
    <mergeCell ref="G143:H143"/>
    <mergeCell ref="B153:I153"/>
    <mergeCell ref="G147:H147"/>
    <mergeCell ref="G151:H151"/>
  </mergeCells>
  <phoneticPr fontId="38" type="noConversion"/>
  <conditionalFormatting sqref="I81:I83">
    <cfRule type="dataBar" priority="1">
      <dataBar>
        <cfvo type="min"/>
        <cfvo type="max"/>
        <color rgb="FF63C384"/>
      </dataBar>
      <extLst>
        <ext xmlns:x14="http://schemas.microsoft.com/office/spreadsheetml/2009/9/main" uri="{B025F937-C7B1-47D3-B67F-A62EFF666E3E}">
          <x14:id>{7A717952-CF16-4B52-9125-34A9AB46C827}</x14:id>
        </ext>
      </extLst>
    </cfRule>
  </conditionalFormatting>
  <pageMargins left="0.70866141732283472" right="0.70866141732283472" top="0.74803149606299213" bottom="0.74803149606299213" header="0.31496062992125984" footer="0.31496062992125984"/>
  <pageSetup scale="10" fitToHeight="0" orientation="landscape" horizontalDpi="4294967293"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7A717952-CF16-4B52-9125-34A9AB46C827}">
            <x14:dataBar minLength="0" maxLength="100" border="1" negativeBarBorderColorSameAsPositive="0">
              <x14:cfvo type="autoMin"/>
              <x14:cfvo type="autoMax"/>
              <x14:borderColor rgb="FF63C384"/>
              <x14:negativeFillColor rgb="FFFF0000"/>
              <x14:negativeBorderColor rgb="FFFF0000"/>
              <x14:axisColor rgb="FF000000"/>
            </x14:dataBar>
          </x14:cfRule>
          <xm:sqref>I81:I83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C302-03E4-4BE8-BA74-C1D9C72EB963}">
  <sheetPr>
    <tabColor theme="9" tint="-0.499984740745262"/>
    <pageSetUpPr fitToPage="1"/>
  </sheetPr>
  <dimension ref="A1:AI135"/>
  <sheetViews>
    <sheetView topLeftCell="D58" zoomScale="85" zoomScaleNormal="85" workbookViewId="0">
      <selection activeCell="F45" sqref="F45:H45"/>
    </sheetView>
  </sheetViews>
  <sheetFormatPr baseColWidth="10" defaultColWidth="11.42578125" defaultRowHeight="15"/>
  <cols>
    <col min="1" max="1" width="11.42578125" style="294"/>
    <col min="2" max="3" width="25.5703125" style="353" customWidth="1"/>
    <col min="4" max="4" width="103.42578125" style="353" customWidth="1"/>
    <col min="5" max="5" width="14.7109375" style="354" customWidth="1"/>
    <col min="6" max="6" width="15.7109375" style="352" customWidth="1"/>
    <col min="7" max="7" width="15.7109375" style="354" customWidth="1"/>
    <col min="8" max="8" width="39" style="353" customWidth="1"/>
    <col min="9" max="27" width="11.42578125" style="294"/>
    <col min="28" max="35" width="11.42578125" style="335"/>
    <col min="36" max="16384" width="11.42578125" style="336"/>
  </cols>
  <sheetData>
    <row r="1" spans="2:23" ht="66" customHeight="1">
      <c r="B1" s="1700" t="s">
        <v>262</v>
      </c>
      <c r="C1" s="1700"/>
      <c r="D1" s="1700"/>
      <c r="E1" s="1700"/>
      <c r="F1" s="1701" t="s">
        <v>263</v>
      </c>
      <c r="G1" s="1701"/>
      <c r="H1" s="1701"/>
    </row>
    <row r="2" spans="2:23" ht="14.45" customHeight="1" thickBot="1">
      <c r="B2" s="1700"/>
      <c r="C2" s="1700"/>
      <c r="D2" s="1700"/>
      <c r="E2" s="1700"/>
      <c r="F2" s="292"/>
      <c r="G2" s="293"/>
      <c r="H2" s="294"/>
    </row>
    <row r="3" spans="2:23" ht="43.35" customHeight="1" thickBot="1">
      <c r="B3" s="1234" t="s">
        <v>264</v>
      </c>
      <c r="C3" s="1235" t="s">
        <v>265</v>
      </c>
      <c r="D3" s="1626" t="s">
        <v>266</v>
      </c>
      <c r="E3" s="1627"/>
      <c r="F3" s="1627"/>
      <c r="G3" s="1627"/>
      <c r="H3" s="1628"/>
    </row>
    <row r="4" spans="2:23" ht="27.95" customHeight="1">
      <c r="B4" s="1236" t="s">
        <v>66</v>
      </c>
      <c r="C4" s="1237" t="s">
        <v>62</v>
      </c>
      <c r="D4" s="302"/>
      <c r="E4" s="303" t="s">
        <v>267</v>
      </c>
      <c r="F4" s="1702" t="s">
        <v>268</v>
      </c>
      <c r="G4" s="1695"/>
      <c r="H4" s="1696"/>
    </row>
    <row r="5" spans="2:23" ht="30">
      <c r="B5" s="1703" t="s">
        <v>269</v>
      </c>
      <c r="C5" s="1629" t="s">
        <v>270</v>
      </c>
      <c r="D5" s="304" t="s">
        <v>271</v>
      </c>
      <c r="E5" s="305">
        <f>SUM(Summary!F3,Summary!F8)</f>
        <v>0</v>
      </c>
      <c r="F5" s="1676"/>
      <c r="G5" s="1677"/>
      <c r="H5" s="1678"/>
    </row>
    <row r="6" spans="2:23">
      <c r="B6" s="1704"/>
      <c r="C6" s="1629"/>
      <c r="D6" s="304" t="s">
        <v>272</v>
      </c>
      <c r="E6" s="305">
        <f>Summary!F25</f>
        <v>0</v>
      </c>
      <c r="F6" s="1688" t="s">
        <v>273</v>
      </c>
      <c r="G6" s="1689"/>
      <c r="H6" s="1690"/>
    </row>
    <row r="7" spans="2:23">
      <c r="B7" s="1704"/>
      <c r="C7" s="1629"/>
      <c r="D7" s="304" t="s">
        <v>274</v>
      </c>
      <c r="E7" s="305">
        <f>Summary!F22</f>
        <v>0</v>
      </c>
      <c r="F7" s="1688"/>
      <c r="G7" s="1689"/>
      <c r="H7" s="1690"/>
    </row>
    <row r="8" spans="2:23" ht="15" customHeight="1">
      <c r="B8" s="1704"/>
      <c r="C8" s="1629"/>
      <c r="D8" s="306" t="s">
        <v>275</v>
      </c>
      <c r="E8" s="305">
        <f>Summary!F24</f>
        <v>0</v>
      </c>
      <c r="F8" s="1688"/>
      <c r="G8" s="1689"/>
      <c r="H8" s="1690"/>
    </row>
    <row r="9" spans="2:23">
      <c r="B9" s="1704"/>
      <c r="C9" s="1629"/>
      <c r="D9" s="304" t="s">
        <v>276</v>
      </c>
      <c r="E9" s="305">
        <f>Summary!F14</f>
        <v>0</v>
      </c>
      <c r="F9" s="1688" t="s">
        <v>273</v>
      </c>
      <c r="G9" s="1689"/>
      <c r="H9" s="1690"/>
    </row>
    <row r="10" spans="2:23">
      <c r="B10" s="1704"/>
      <c r="C10" s="1629"/>
      <c r="D10" s="304" t="s">
        <v>277</v>
      </c>
      <c r="E10" s="305">
        <f>Summary!F17</f>
        <v>0</v>
      </c>
      <c r="F10" s="1688"/>
      <c r="G10" s="1689"/>
      <c r="H10" s="1690"/>
    </row>
    <row r="11" spans="2:23" ht="48">
      <c r="B11" s="1704"/>
      <c r="C11" s="1629"/>
      <c r="D11" s="304" t="s">
        <v>278</v>
      </c>
      <c r="E11" s="305">
        <f>Summary!F23</f>
        <v>0</v>
      </c>
      <c r="F11" s="1676" t="s">
        <v>279</v>
      </c>
      <c r="G11" s="1677"/>
      <c r="H11" s="1678"/>
    </row>
    <row r="12" spans="2:23">
      <c r="B12" s="307"/>
      <c r="C12" s="1232"/>
      <c r="D12" s="296"/>
      <c r="E12" s="297"/>
      <c r="F12" s="308"/>
      <c r="G12" s="308"/>
      <c r="H12" s="309"/>
    </row>
    <row r="13" spans="2:23" ht="28.9" customHeight="1">
      <c r="B13" s="1238" t="s">
        <v>99</v>
      </c>
      <c r="C13" s="1239" t="s">
        <v>89</v>
      </c>
      <c r="D13" s="310"/>
      <c r="E13" s="311" t="s">
        <v>267</v>
      </c>
      <c r="F13" s="1694" t="s">
        <v>268</v>
      </c>
      <c r="G13" s="1695"/>
      <c r="H13" s="1696"/>
    </row>
    <row r="14" spans="2:23" ht="52.5" customHeight="1">
      <c r="B14" s="312" t="s">
        <v>280</v>
      </c>
      <c r="C14" s="1233" t="s">
        <v>90</v>
      </c>
      <c r="D14" s="313" t="s">
        <v>281</v>
      </c>
      <c r="E14" s="314">
        <f>IF(F14="Location-based",Summary!F27,IF(F14="Market-based",Summary!F28,FALSE))</f>
        <v>0</v>
      </c>
      <c r="F14" s="1688" t="s">
        <v>282</v>
      </c>
      <c r="G14" s="1689"/>
      <c r="H14" s="1690"/>
      <c r="I14" s="1698" t="s">
        <v>283</v>
      </c>
      <c r="J14" s="1699"/>
      <c r="K14" s="1699"/>
      <c r="L14" s="1699"/>
      <c r="M14" s="1699"/>
      <c r="N14" s="1699"/>
      <c r="O14" s="1699"/>
      <c r="P14" s="429"/>
      <c r="Q14" s="429"/>
      <c r="R14" s="429"/>
      <c r="S14" s="429"/>
      <c r="T14" s="429"/>
      <c r="U14" s="429"/>
      <c r="V14" s="429"/>
      <c r="W14" s="429"/>
    </row>
    <row r="15" spans="2:23">
      <c r="B15" s="307"/>
      <c r="C15" s="1232"/>
      <c r="D15" s="296"/>
      <c r="E15" s="297"/>
      <c r="F15" s="308"/>
      <c r="G15" s="308"/>
      <c r="H15" s="309"/>
    </row>
    <row r="16" spans="2:23" ht="28.9" customHeight="1">
      <c r="B16" s="1212" t="s">
        <v>284</v>
      </c>
      <c r="C16" s="1213" t="s">
        <v>92</v>
      </c>
      <c r="D16" s="315"/>
      <c r="E16" s="311" t="s">
        <v>267</v>
      </c>
      <c r="F16" s="1694" t="s">
        <v>268</v>
      </c>
      <c r="G16" s="1695"/>
      <c r="H16" s="1696"/>
    </row>
    <row r="17" spans="2:8">
      <c r="B17" s="1697" t="s">
        <v>285</v>
      </c>
      <c r="C17" s="1630" t="s">
        <v>109</v>
      </c>
      <c r="D17" s="316" t="s">
        <v>286</v>
      </c>
      <c r="E17" s="314">
        <f>SUM(Summary!F51,Summary!F60)</f>
        <v>0</v>
      </c>
      <c r="F17" s="1676"/>
      <c r="G17" s="1677"/>
      <c r="H17" s="1678"/>
    </row>
    <row r="18" spans="2:8">
      <c r="B18" s="1697"/>
      <c r="C18" s="1631"/>
      <c r="D18" s="316" t="s">
        <v>287</v>
      </c>
      <c r="E18" s="305">
        <f>Summary!F52</f>
        <v>0</v>
      </c>
      <c r="F18" s="1676"/>
      <c r="G18" s="1677"/>
      <c r="H18" s="1678"/>
    </row>
    <row r="19" spans="2:8">
      <c r="B19" s="1697"/>
      <c r="C19" s="1631"/>
      <c r="D19" s="316" t="s">
        <v>288</v>
      </c>
      <c r="E19" s="305">
        <f>SUM(Summary!F49:F50)</f>
        <v>0</v>
      </c>
      <c r="F19" s="1676"/>
      <c r="G19" s="1677"/>
      <c r="H19" s="1678"/>
    </row>
    <row r="20" spans="2:8">
      <c r="B20" s="1697"/>
      <c r="C20" s="1631"/>
      <c r="D20" s="316" t="s">
        <v>289</v>
      </c>
      <c r="E20" s="305">
        <f>Summary!F53</f>
        <v>0</v>
      </c>
      <c r="F20" s="1676"/>
      <c r="G20" s="1677"/>
      <c r="H20" s="1678"/>
    </row>
    <row r="21" spans="2:8">
      <c r="B21" s="1697"/>
      <c r="C21" s="1631"/>
      <c r="D21" s="316" t="s">
        <v>290</v>
      </c>
      <c r="E21" s="305">
        <f>Summary!F55+Summary!F56</f>
        <v>0</v>
      </c>
      <c r="F21" s="1676"/>
      <c r="G21" s="1677"/>
      <c r="H21" s="1678"/>
    </row>
    <row r="22" spans="2:8">
      <c r="B22" s="1697"/>
      <c r="C22" s="1631"/>
      <c r="D22" s="316" t="s">
        <v>291</v>
      </c>
      <c r="E22" s="305">
        <f>Summary!F57</f>
        <v>0</v>
      </c>
      <c r="F22" s="1676"/>
      <c r="G22" s="1677"/>
      <c r="H22" s="1678"/>
    </row>
    <row r="23" spans="2:8">
      <c r="B23" s="1697"/>
      <c r="C23" s="1631"/>
      <c r="D23" s="316" t="s">
        <v>292</v>
      </c>
      <c r="E23" s="305">
        <f>Summary!F59</f>
        <v>0</v>
      </c>
      <c r="F23" s="1676"/>
      <c r="G23" s="1677"/>
      <c r="H23" s="1678"/>
    </row>
    <row r="24" spans="2:8">
      <c r="B24" s="1697"/>
      <c r="C24" s="1631"/>
      <c r="D24" s="316" t="s">
        <v>293</v>
      </c>
      <c r="E24" s="305">
        <f>Summary!F54</f>
        <v>0</v>
      </c>
      <c r="F24" s="1676"/>
      <c r="G24" s="1677"/>
      <c r="H24" s="1678"/>
    </row>
    <row r="25" spans="2:8">
      <c r="B25" s="1691" t="s">
        <v>105</v>
      </c>
      <c r="C25" s="1631" t="s">
        <v>294</v>
      </c>
      <c r="D25" s="316" t="s">
        <v>295</v>
      </c>
      <c r="E25" s="305">
        <f>SUM(Summary!F33,Summary!F47,Summary!F35,Summary!F34,Summary!F41,Summary!F38,Summary!F42)</f>
        <v>0</v>
      </c>
      <c r="F25" s="1676"/>
      <c r="G25" s="1677"/>
      <c r="H25" s="1678"/>
    </row>
    <row r="26" spans="2:8">
      <c r="B26" s="1692"/>
      <c r="C26" s="1631"/>
      <c r="D26" s="316" t="s">
        <v>296</v>
      </c>
      <c r="E26" s="305">
        <f>SUM(Summary!F37,Summary!F36,Summary!F40,Summary!F43)</f>
        <v>0</v>
      </c>
      <c r="F26" s="1676"/>
      <c r="G26" s="1677"/>
      <c r="H26" s="1678"/>
    </row>
    <row r="27" spans="2:8">
      <c r="B27" s="1692"/>
      <c r="C27" s="1631"/>
      <c r="D27" s="316" t="s">
        <v>297</v>
      </c>
      <c r="E27" s="305">
        <f>SUM(Summary!F44,Summary!F39)</f>
        <v>0</v>
      </c>
      <c r="F27" s="1676"/>
      <c r="G27" s="1677"/>
      <c r="H27" s="1678"/>
    </row>
    <row r="28" spans="2:8">
      <c r="B28" s="1692"/>
      <c r="C28" s="1631"/>
      <c r="D28" s="316" t="s">
        <v>298</v>
      </c>
      <c r="E28" s="305">
        <f>SUM(Summary!F46,Summary!F45)</f>
        <v>0</v>
      </c>
      <c r="F28" s="1676"/>
      <c r="G28" s="1677"/>
      <c r="H28" s="1678"/>
    </row>
    <row r="29" spans="2:8" ht="45">
      <c r="B29" s="1693"/>
      <c r="C29" s="1631"/>
      <c r="D29" s="316" t="s">
        <v>299</v>
      </c>
      <c r="E29" s="305"/>
      <c r="F29" s="1676"/>
      <c r="G29" s="1677"/>
      <c r="H29" s="1678"/>
    </row>
    <row r="30" spans="2:8" ht="60">
      <c r="B30" s="1691" t="s">
        <v>300</v>
      </c>
      <c r="C30" s="1631" t="s">
        <v>301</v>
      </c>
      <c r="D30" s="316" t="s">
        <v>302</v>
      </c>
      <c r="E30" s="305">
        <f>Summary!F72</f>
        <v>0</v>
      </c>
      <c r="F30" s="1676"/>
      <c r="G30" s="1677"/>
      <c r="H30" s="1678"/>
    </row>
    <row r="31" spans="2:8" ht="60">
      <c r="B31" s="1692"/>
      <c r="C31" s="1631"/>
      <c r="D31" s="316" t="s">
        <v>303</v>
      </c>
      <c r="E31" s="305">
        <f>Summary!F73</f>
        <v>0</v>
      </c>
      <c r="F31" s="1676"/>
      <c r="G31" s="1677"/>
      <c r="H31" s="1678"/>
    </row>
    <row r="32" spans="2:8" ht="45">
      <c r="B32" s="1692"/>
      <c r="C32" s="1631"/>
      <c r="D32" s="316" t="s">
        <v>304</v>
      </c>
      <c r="E32" s="305"/>
      <c r="F32" s="1676"/>
      <c r="G32" s="1677"/>
      <c r="H32" s="1678"/>
    </row>
    <row r="33" spans="2:9" ht="45">
      <c r="B33" s="1692"/>
      <c r="C33" s="1631"/>
      <c r="D33" s="316" t="s">
        <v>305</v>
      </c>
      <c r="E33" s="305"/>
      <c r="F33" s="1676"/>
      <c r="G33" s="1677"/>
      <c r="H33" s="1678"/>
    </row>
    <row r="34" spans="2:9">
      <c r="B34" s="1692"/>
      <c r="C34" s="1631"/>
      <c r="D34" s="316" t="s">
        <v>306</v>
      </c>
      <c r="E34" s="305">
        <f>SUM('Product Transport'!B5:B6,'Product Transport'!B8)</f>
        <v>0</v>
      </c>
      <c r="F34" s="1676"/>
      <c r="G34" s="1677"/>
      <c r="H34" s="1678"/>
    </row>
    <row r="35" spans="2:9" ht="60">
      <c r="B35" s="1693"/>
      <c r="C35" s="1631"/>
      <c r="D35" s="316" t="s">
        <v>307</v>
      </c>
      <c r="E35" s="305">
        <f>SUM(Summary!F68,Summary!F75,Summary!F58)</f>
        <v>0</v>
      </c>
      <c r="F35" s="1676"/>
      <c r="G35" s="1677"/>
      <c r="H35" s="1678"/>
    </row>
    <row r="36" spans="2:9" ht="45">
      <c r="B36" s="320" t="s">
        <v>105</v>
      </c>
      <c r="C36" s="1631" t="s">
        <v>308</v>
      </c>
      <c r="D36" s="316" t="s">
        <v>309</v>
      </c>
      <c r="E36" s="305">
        <f>Summary!F67</f>
        <v>0</v>
      </c>
      <c r="F36" s="1676"/>
      <c r="G36" s="1677"/>
      <c r="H36" s="1678"/>
    </row>
    <row r="37" spans="2:9">
      <c r="B37" s="1217" t="s">
        <v>310</v>
      </c>
      <c r="C37" s="1631"/>
      <c r="D37" s="316" t="s">
        <v>311</v>
      </c>
      <c r="E37" s="305">
        <f>Summary!F68</f>
        <v>0</v>
      </c>
      <c r="F37" s="1676"/>
      <c r="G37" s="1677"/>
      <c r="H37" s="1678"/>
    </row>
    <row r="38" spans="2:9">
      <c r="B38" s="1691" t="s">
        <v>312</v>
      </c>
      <c r="C38" s="1631" t="s">
        <v>313</v>
      </c>
      <c r="D38" s="316" t="s">
        <v>314</v>
      </c>
      <c r="E38" s="305">
        <f>Summary!F91</f>
        <v>0</v>
      </c>
      <c r="F38" s="1676"/>
      <c r="G38" s="1677"/>
      <c r="H38" s="1678"/>
    </row>
    <row r="39" spans="2:9">
      <c r="B39" s="1693"/>
      <c r="C39" s="1631"/>
      <c r="D39" s="316" t="s">
        <v>315</v>
      </c>
      <c r="E39" s="305">
        <f>Summary!F83</f>
        <v>0</v>
      </c>
      <c r="F39" s="317"/>
      <c r="G39" s="318"/>
      <c r="H39" s="319"/>
    </row>
    <row r="40" spans="2:9">
      <c r="B40" s="1217" t="s">
        <v>310</v>
      </c>
      <c r="C40" s="1215" t="s">
        <v>316</v>
      </c>
      <c r="D40" s="316" t="s">
        <v>317</v>
      </c>
      <c r="E40" s="305">
        <f>SUM(Summary!F65:F66)</f>
        <v>0</v>
      </c>
      <c r="F40" s="317"/>
      <c r="G40" s="318"/>
      <c r="H40" s="319"/>
    </row>
    <row r="41" spans="2:9">
      <c r="B41" s="1217" t="s">
        <v>310</v>
      </c>
      <c r="C41" s="1631" t="s">
        <v>318</v>
      </c>
      <c r="D41" s="316" t="s">
        <v>319</v>
      </c>
      <c r="E41" s="305">
        <f>SUM(Summary!F77)</f>
        <v>0</v>
      </c>
      <c r="F41" s="1676"/>
      <c r="G41" s="1677"/>
      <c r="H41" s="1678"/>
    </row>
    <row r="42" spans="2:9" ht="30">
      <c r="B42" s="1217" t="s">
        <v>105</v>
      </c>
      <c r="C42" s="1631"/>
      <c r="D42" s="316" t="s">
        <v>320</v>
      </c>
      <c r="E42" s="305">
        <f>IF(F42="Location-based",Summary!F69,IF(F42="Market-based",Summary!F70,FALSE))</f>
        <v>0</v>
      </c>
      <c r="F42" s="1688" t="s">
        <v>282</v>
      </c>
      <c r="G42" s="1689"/>
      <c r="H42" s="1690"/>
      <c r="I42" s="321" t="s">
        <v>321</v>
      </c>
    </row>
    <row r="43" spans="2:9">
      <c r="B43" s="1675" t="s">
        <v>322</v>
      </c>
      <c r="C43" s="1631" t="s">
        <v>323</v>
      </c>
      <c r="D43" s="316" t="s">
        <v>324</v>
      </c>
      <c r="E43" s="305">
        <f>Summary!F103</f>
        <v>0</v>
      </c>
      <c r="F43" s="1676"/>
      <c r="G43" s="1677"/>
      <c r="H43" s="1678"/>
    </row>
    <row r="44" spans="2:9">
      <c r="B44" s="1675"/>
      <c r="C44" s="1631"/>
      <c r="D44" s="316" t="s">
        <v>325</v>
      </c>
      <c r="E44" s="305">
        <f>SUM(Summary!F101,Summary!F99)</f>
        <v>0</v>
      </c>
      <c r="F44" s="1676"/>
      <c r="G44" s="1677"/>
      <c r="H44" s="1678"/>
    </row>
    <row r="45" spans="2:9" ht="45.75" thickBot="1">
      <c r="B45" s="322" t="s">
        <v>326</v>
      </c>
      <c r="C45" s="1216" t="s">
        <v>193</v>
      </c>
      <c r="D45" s="323" t="s">
        <v>327</v>
      </c>
      <c r="E45" s="324">
        <f>Summary!F113</f>
        <v>0</v>
      </c>
      <c r="F45" s="1679" t="s">
        <v>279</v>
      </c>
      <c r="G45" s="1680"/>
      <c r="H45" s="1681"/>
    </row>
    <row r="46" spans="2:9" ht="15.75" customHeight="1" thickBot="1">
      <c r="B46" s="325"/>
      <c r="C46" s="325"/>
      <c r="D46" s="325"/>
      <c r="E46" s="293"/>
      <c r="F46" s="292"/>
      <c r="G46" s="293"/>
      <c r="H46" s="294"/>
    </row>
    <row r="47" spans="2:9" ht="48" customHeight="1">
      <c r="B47" s="1682" t="s">
        <v>328</v>
      </c>
      <c r="C47" s="1683"/>
      <c r="D47" s="1684"/>
      <c r="E47" s="326" t="s">
        <v>329</v>
      </c>
      <c r="F47" s="1685" t="s">
        <v>330</v>
      </c>
      <c r="G47" s="1686"/>
      <c r="H47" s="1687"/>
    </row>
    <row r="48" spans="2:9" ht="21" customHeight="1">
      <c r="B48" s="1666" t="s">
        <v>331</v>
      </c>
      <c r="C48" s="1667"/>
      <c r="D48" s="1668"/>
      <c r="E48" s="327">
        <f>SUM(E5:E11)</f>
        <v>0</v>
      </c>
      <c r="F48" s="1656">
        <f>IF('Audit Summary Form'!E65=0,0,('Audit Summary Form'!E65-'GHG Emissons Breakdown'!E48)/'Audit Summary Form'!E65)</f>
        <v>0</v>
      </c>
      <c r="G48" s="1657"/>
      <c r="H48" s="1658"/>
    </row>
    <row r="49" spans="1:35" ht="21" customHeight="1">
      <c r="B49" s="1669" t="s">
        <v>332</v>
      </c>
      <c r="C49" s="1670"/>
      <c r="D49" s="1671"/>
      <c r="E49" s="328">
        <f>SUM(E14:E14)</f>
        <v>0</v>
      </c>
      <c r="F49" s="1656">
        <f>IF('Audit Summary Form'!E66=0,0,('Audit Summary Form'!E66-'GHG Emissons Breakdown'!E49)/'Audit Summary Form'!E66)</f>
        <v>0</v>
      </c>
      <c r="G49" s="1657"/>
      <c r="H49" s="1658"/>
    </row>
    <row r="50" spans="1:35" ht="21" customHeight="1">
      <c r="B50" s="1672" t="s">
        <v>333</v>
      </c>
      <c r="C50" s="1673"/>
      <c r="D50" s="1674"/>
      <c r="E50" s="329">
        <f>SUM(E17:E45)</f>
        <v>0</v>
      </c>
      <c r="F50" s="1656">
        <f>IF('Audit Summary Form'!E67=0,0,('Audit Summary Form'!E67-'GHG Emissons Breakdown'!E50)/'Audit Summary Form'!E67)</f>
        <v>0</v>
      </c>
      <c r="G50" s="1657"/>
      <c r="H50" s="1658"/>
    </row>
    <row r="51" spans="1:35" ht="21" customHeight="1">
      <c r="B51" s="1653" t="s">
        <v>334</v>
      </c>
      <c r="C51" s="1654"/>
      <c r="D51" s="1655"/>
      <c r="E51" s="330">
        <f>+E48+E49+E50</f>
        <v>0</v>
      </c>
      <c r="F51" s="1656">
        <f>IF('Audit Summary Form'!E68=0,0,('Audit Summary Form'!E68-'GHG Emissons Breakdown'!E51)/'Audit Summary Form'!E68)</f>
        <v>0</v>
      </c>
      <c r="G51" s="1657"/>
      <c r="H51" s="1658"/>
    </row>
    <row r="52" spans="1:35" ht="12.95" customHeight="1">
      <c r="B52" s="331"/>
      <c r="C52" s="332"/>
      <c r="D52" s="332"/>
      <c r="E52" s="333"/>
      <c r="F52" s="334"/>
      <c r="G52" s="1659"/>
      <c r="H52" s="1660"/>
    </row>
    <row r="53" spans="1:35" ht="21" customHeight="1">
      <c r="B53" s="1663" t="s">
        <v>335</v>
      </c>
      <c r="C53" s="1664"/>
      <c r="D53" s="1665"/>
      <c r="E53" s="337">
        <f>'Audit Summary Form'!E70</f>
        <v>0</v>
      </c>
      <c r="F53" s="338"/>
      <c r="G53" s="1661"/>
      <c r="H53" s="1662"/>
    </row>
    <row r="54" spans="1:35" ht="21" customHeight="1">
      <c r="B54" s="1663" t="s">
        <v>336</v>
      </c>
      <c r="C54" s="1664"/>
      <c r="D54" s="1665"/>
      <c r="E54" s="339" t="e">
        <f>+E51*1000/E53</f>
        <v>#DIV/0!</v>
      </c>
      <c r="F54" s="1656" t="e">
        <f>('Audit Summary Form'!E71-'GHG Emissons Breakdown'!E54)/'Audit Summary Form'!E71</f>
        <v>#DIV/0!</v>
      </c>
      <c r="G54" s="1657"/>
      <c r="H54" s="1658"/>
    </row>
    <row r="55" spans="1:35" ht="12" customHeight="1">
      <c r="B55" s="340"/>
      <c r="C55" s="341"/>
      <c r="D55" s="341"/>
      <c r="E55" s="342"/>
      <c r="F55" s="334"/>
      <c r="G55" s="1632"/>
      <c r="H55" s="1633"/>
    </row>
    <row r="56" spans="1:35" ht="21" customHeight="1">
      <c r="B56" s="1636" t="s">
        <v>337</v>
      </c>
      <c r="C56" s="1637"/>
      <c r="D56" s="1638"/>
      <c r="E56" s="343"/>
      <c r="F56" s="344"/>
      <c r="G56" s="1634"/>
      <c r="H56" s="1635"/>
    </row>
    <row r="57" spans="1:35" ht="30" customHeight="1" thickBot="1">
      <c r="B57" s="1639" t="s">
        <v>338</v>
      </c>
      <c r="C57" s="1640"/>
      <c r="D57" s="1641"/>
      <c r="E57" s="345">
        <f>'Audit Summary Form'!E74</f>
        <v>0</v>
      </c>
      <c r="F57" s="346"/>
      <c r="G57" s="346"/>
      <c r="H57" s="347"/>
    </row>
    <row r="58" spans="1:35" ht="63" customHeight="1">
      <c r="B58" s="1642" t="s">
        <v>339</v>
      </c>
      <c r="C58" s="1643"/>
      <c r="D58" s="1644"/>
      <c r="E58" s="1617" t="s">
        <v>340</v>
      </c>
      <c r="F58" s="1618"/>
      <c r="G58" s="1618"/>
      <c r="H58" s="1619"/>
    </row>
    <row r="59" spans="1:35" s="350" customFormat="1" ht="7.5" customHeight="1">
      <c r="A59" s="348"/>
      <c r="B59" s="294"/>
      <c r="C59" s="294"/>
      <c r="D59" s="294"/>
      <c r="E59" s="1620"/>
      <c r="F59" s="1621"/>
      <c r="G59" s="1621"/>
      <c r="H59" s="1622"/>
      <c r="I59" s="348"/>
      <c r="J59" s="348"/>
      <c r="K59" s="348"/>
      <c r="L59" s="348"/>
      <c r="M59" s="348"/>
      <c r="N59" s="348"/>
      <c r="O59" s="348"/>
      <c r="P59" s="348"/>
      <c r="Q59" s="348"/>
      <c r="R59" s="348"/>
      <c r="S59" s="348"/>
      <c r="T59" s="348"/>
      <c r="U59" s="348"/>
      <c r="V59" s="348"/>
      <c r="W59" s="348"/>
      <c r="X59" s="348"/>
      <c r="Y59" s="348"/>
      <c r="Z59" s="348"/>
      <c r="AA59" s="348"/>
      <c r="AB59" s="349"/>
      <c r="AC59" s="349"/>
      <c r="AD59" s="349"/>
      <c r="AE59" s="349"/>
      <c r="AF59" s="349"/>
      <c r="AG59" s="349"/>
      <c r="AH59" s="349"/>
      <c r="AI59" s="349"/>
    </row>
    <row r="60" spans="1:35" s="335" customFormat="1" ht="16.5" customHeight="1" thickBot="1">
      <c r="A60" s="294"/>
      <c r="B60" s="1645" t="s">
        <v>341</v>
      </c>
      <c r="C60" s="1645"/>
      <c r="D60" s="1646"/>
      <c r="E60" s="1620"/>
      <c r="F60" s="1621"/>
      <c r="G60" s="1621"/>
      <c r="H60" s="1622"/>
      <c r="I60" s="294"/>
      <c r="J60" s="294"/>
      <c r="K60" s="294"/>
      <c r="L60" s="294"/>
      <c r="M60" s="294"/>
      <c r="N60" s="294"/>
      <c r="O60" s="294"/>
      <c r="P60" s="294"/>
      <c r="Q60" s="294"/>
      <c r="R60" s="294"/>
      <c r="S60" s="294"/>
      <c r="T60" s="294"/>
      <c r="U60" s="294"/>
      <c r="V60" s="294"/>
      <c r="W60" s="294"/>
      <c r="X60" s="294"/>
      <c r="Y60" s="294"/>
      <c r="Z60" s="294"/>
      <c r="AA60" s="294"/>
    </row>
    <row r="61" spans="1:35" s="335" customFormat="1" ht="225.75" customHeight="1">
      <c r="A61" s="294"/>
      <c r="B61" s="1647" t="s">
        <v>342</v>
      </c>
      <c r="C61" s="1648"/>
      <c r="D61" s="1649"/>
      <c r="E61" s="1620"/>
      <c r="F61" s="1621"/>
      <c r="G61" s="1621"/>
      <c r="H61" s="1622"/>
      <c r="I61" s="294"/>
      <c r="J61" s="294"/>
      <c r="K61" s="294"/>
      <c r="L61" s="294"/>
      <c r="M61" s="294"/>
      <c r="N61" s="294"/>
      <c r="O61" s="294"/>
      <c r="P61" s="294"/>
      <c r="Q61" s="294"/>
      <c r="R61" s="294"/>
      <c r="S61" s="294"/>
      <c r="T61" s="294"/>
      <c r="U61" s="294"/>
      <c r="V61" s="294"/>
      <c r="W61" s="294"/>
      <c r="X61" s="294"/>
      <c r="Y61" s="294"/>
      <c r="Z61" s="294"/>
      <c r="AA61" s="294"/>
    </row>
    <row r="62" spans="1:35" ht="69" customHeight="1" thickBot="1">
      <c r="B62" s="1650"/>
      <c r="C62" s="1651"/>
      <c r="D62" s="1652"/>
      <c r="E62" s="1623"/>
      <c r="F62" s="1624"/>
      <c r="G62" s="1624"/>
      <c r="H62" s="1625"/>
    </row>
    <row r="63" spans="1:35" s="335" customFormat="1">
      <c r="A63" s="294"/>
      <c r="B63" s="1241"/>
      <c r="C63" s="1242"/>
      <c r="D63" s="1243"/>
      <c r="E63" s="351"/>
      <c r="F63" s="352"/>
      <c r="G63" s="351"/>
      <c r="H63" s="294"/>
      <c r="I63" s="294"/>
      <c r="J63" s="294"/>
      <c r="K63" s="294"/>
      <c r="L63" s="294"/>
      <c r="M63" s="294"/>
      <c r="N63" s="294"/>
      <c r="O63" s="294"/>
      <c r="P63" s="294"/>
      <c r="Q63" s="294"/>
      <c r="R63" s="294"/>
      <c r="S63" s="294"/>
      <c r="T63" s="294"/>
      <c r="U63" s="294"/>
      <c r="V63" s="294"/>
      <c r="W63" s="294"/>
      <c r="X63" s="294"/>
      <c r="Y63" s="294"/>
      <c r="Z63" s="294"/>
      <c r="AA63" s="294"/>
    </row>
    <row r="64" spans="1:35" s="335" customFormat="1">
      <c r="A64" s="294"/>
      <c r="B64" s="294"/>
      <c r="C64" s="294"/>
      <c r="D64" s="294"/>
      <c r="E64" s="351"/>
      <c r="F64" s="352"/>
      <c r="G64" s="351"/>
      <c r="H64" s="294"/>
      <c r="I64" s="294"/>
      <c r="J64" s="294"/>
      <c r="K64" s="294"/>
      <c r="L64" s="294"/>
      <c r="M64" s="294"/>
      <c r="N64" s="294"/>
      <c r="O64" s="294"/>
      <c r="P64" s="294"/>
      <c r="Q64" s="294"/>
      <c r="R64" s="294"/>
      <c r="S64" s="294"/>
      <c r="T64" s="294"/>
      <c r="U64" s="294"/>
      <c r="V64" s="294"/>
      <c r="W64" s="294"/>
      <c r="X64" s="294"/>
      <c r="Y64" s="294"/>
      <c r="Z64" s="294"/>
      <c r="AA64" s="294"/>
    </row>
    <row r="65" spans="1:27" s="335" customFormat="1">
      <c r="A65" s="294"/>
      <c r="B65" s="294"/>
      <c r="C65" s="294"/>
      <c r="D65" s="294"/>
      <c r="E65" s="351"/>
      <c r="F65" s="352"/>
      <c r="G65" s="351"/>
      <c r="H65" s="294"/>
      <c r="I65" s="294"/>
      <c r="J65" s="294"/>
      <c r="K65" s="294"/>
      <c r="L65" s="294"/>
      <c r="M65" s="294"/>
      <c r="N65" s="294"/>
      <c r="O65" s="294"/>
      <c r="P65" s="294"/>
      <c r="Q65" s="294"/>
      <c r="R65" s="294"/>
      <c r="S65" s="294"/>
      <c r="T65" s="294"/>
      <c r="U65" s="294"/>
      <c r="V65" s="294"/>
      <c r="W65" s="294"/>
      <c r="X65" s="294"/>
      <c r="Y65" s="294"/>
      <c r="Z65" s="294"/>
      <c r="AA65" s="294"/>
    </row>
    <row r="66" spans="1:27" s="335" customFormat="1">
      <c r="A66" s="294"/>
      <c r="B66" s="294"/>
      <c r="C66" s="294"/>
      <c r="D66" s="294"/>
      <c r="E66" s="351"/>
      <c r="F66" s="352"/>
      <c r="G66" s="351"/>
      <c r="H66" s="294"/>
      <c r="I66" s="294"/>
      <c r="J66" s="294"/>
      <c r="K66" s="294"/>
      <c r="L66" s="294"/>
      <c r="M66" s="294"/>
      <c r="N66" s="294"/>
      <c r="O66" s="294"/>
      <c r="P66" s="294"/>
      <c r="Q66" s="294"/>
      <c r="R66" s="294"/>
      <c r="S66" s="294"/>
      <c r="T66" s="294"/>
      <c r="U66" s="294"/>
      <c r="V66" s="294"/>
      <c r="W66" s="294"/>
      <c r="X66" s="294"/>
      <c r="Y66" s="294"/>
      <c r="Z66" s="294"/>
      <c r="AA66" s="294"/>
    </row>
    <row r="67" spans="1:27" s="335" customFormat="1">
      <c r="A67" s="294"/>
      <c r="B67" s="294"/>
      <c r="C67" s="294"/>
      <c r="D67" s="294"/>
      <c r="E67" s="351"/>
      <c r="F67" s="352"/>
      <c r="G67" s="351"/>
      <c r="H67" s="294"/>
      <c r="I67" s="294"/>
      <c r="J67" s="294"/>
      <c r="K67" s="294"/>
      <c r="L67" s="294"/>
      <c r="M67" s="294"/>
      <c r="N67" s="294"/>
      <c r="O67" s="294"/>
      <c r="P67" s="294"/>
      <c r="Q67" s="294"/>
      <c r="R67" s="294"/>
      <c r="S67" s="294"/>
      <c r="T67" s="294"/>
      <c r="U67" s="294"/>
      <c r="V67" s="294"/>
      <c r="W67" s="294"/>
      <c r="X67" s="294"/>
      <c r="Y67" s="294"/>
      <c r="Z67" s="294"/>
      <c r="AA67" s="294"/>
    </row>
    <row r="68" spans="1:27" s="335" customFormat="1">
      <c r="A68" s="294"/>
      <c r="B68" s="294"/>
      <c r="C68" s="294"/>
      <c r="D68" s="294"/>
      <c r="E68" s="351"/>
      <c r="F68" s="352"/>
      <c r="G68" s="351"/>
      <c r="H68" s="294"/>
      <c r="I68" s="294"/>
      <c r="J68" s="294"/>
      <c r="K68" s="294"/>
      <c r="L68" s="294"/>
      <c r="M68" s="294"/>
      <c r="N68" s="294"/>
      <c r="O68" s="294"/>
      <c r="P68" s="294"/>
      <c r="Q68" s="294"/>
      <c r="R68" s="294"/>
      <c r="S68" s="294"/>
      <c r="T68" s="294"/>
      <c r="U68" s="294"/>
      <c r="V68" s="294"/>
      <c r="W68" s="294"/>
      <c r="X68" s="294"/>
      <c r="Y68" s="294"/>
      <c r="Z68" s="294"/>
      <c r="AA68" s="294"/>
    </row>
    <row r="69" spans="1:27" s="335" customFormat="1">
      <c r="A69" s="294"/>
      <c r="B69" s="294"/>
      <c r="C69" s="294"/>
      <c r="D69" s="294"/>
      <c r="E69" s="351"/>
      <c r="F69" s="352"/>
      <c r="G69" s="351"/>
      <c r="H69" s="294"/>
      <c r="I69" s="294"/>
      <c r="J69" s="294"/>
      <c r="K69" s="294"/>
      <c r="L69" s="294"/>
      <c r="M69" s="294"/>
      <c r="N69" s="294"/>
      <c r="O69" s="294"/>
      <c r="P69" s="294"/>
      <c r="Q69" s="294"/>
      <c r="R69" s="294"/>
      <c r="S69" s="294"/>
      <c r="T69" s="294"/>
      <c r="U69" s="294"/>
      <c r="V69" s="294"/>
      <c r="W69" s="294"/>
      <c r="X69" s="294"/>
      <c r="Y69" s="294"/>
      <c r="Z69" s="294"/>
      <c r="AA69" s="294"/>
    </row>
    <row r="70" spans="1:27" s="335" customFormat="1">
      <c r="A70" s="294"/>
      <c r="B70" s="294"/>
      <c r="C70" s="294"/>
      <c r="D70" s="294"/>
      <c r="E70" s="351"/>
      <c r="F70" s="352"/>
      <c r="G70" s="351"/>
      <c r="H70" s="294"/>
      <c r="I70" s="294"/>
      <c r="J70" s="294"/>
      <c r="K70" s="294"/>
      <c r="L70" s="294"/>
      <c r="M70" s="294"/>
      <c r="N70" s="294"/>
      <c r="O70" s="294"/>
      <c r="P70" s="294"/>
      <c r="Q70" s="294"/>
      <c r="R70" s="294"/>
      <c r="S70" s="294"/>
      <c r="T70" s="294"/>
      <c r="U70" s="294"/>
      <c r="V70" s="294"/>
      <c r="W70" s="294"/>
      <c r="X70" s="294"/>
      <c r="Y70" s="294"/>
      <c r="Z70" s="294"/>
      <c r="AA70" s="294"/>
    </row>
    <row r="71" spans="1:27" s="335" customFormat="1">
      <c r="A71" s="294"/>
      <c r="B71" s="294"/>
      <c r="C71" s="294"/>
      <c r="D71" s="294"/>
      <c r="E71" s="351"/>
      <c r="F71" s="352"/>
      <c r="G71" s="351"/>
      <c r="H71" s="294"/>
      <c r="I71" s="294"/>
      <c r="J71" s="294"/>
      <c r="K71" s="294"/>
      <c r="L71" s="294"/>
      <c r="M71" s="294"/>
      <c r="N71" s="294"/>
      <c r="O71" s="294"/>
      <c r="P71" s="294"/>
      <c r="Q71" s="294"/>
      <c r="R71" s="294"/>
      <c r="S71" s="294"/>
      <c r="T71" s="294"/>
      <c r="U71" s="294"/>
      <c r="V71" s="294"/>
      <c r="W71" s="294"/>
      <c r="X71" s="294"/>
      <c r="Y71" s="294"/>
      <c r="Z71" s="294"/>
      <c r="AA71" s="294"/>
    </row>
    <row r="72" spans="1:27" s="335" customFormat="1">
      <c r="A72" s="294"/>
      <c r="B72" s="294"/>
      <c r="C72" s="294"/>
      <c r="D72" s="294"/>
      <c r="E72" s="351"/>
      <c r="F72" s="352"/>
      <c r="G72" s="351"/>
      <c r="H72" s="294"/>
      <c r="I72" s="294"/>
      <c r="J72" s="294"/>
      <c r="K72" s="294"/>
      <c r="L72" s="294"/>
      <c r="M72" s="294"/>
      <c r="N72" s="294"/>
      <c r="O72" s="294"/>
      <c r="P72" s="294"/>
      <c r="Q72" s="294"/>
      <c r="R72" s="294"/>
      <c r="S72" s="294"/>
      <c r="T72" s="294"/>
      <c r="U72" s="294"/>
      <c r="V72" s="294"/>
      <c r="W72" s="294"/>
      <c r="X72" s="294"/>
      <c r="Y72" s="294"/>
      <c r="Z72" s="294"/>
      <c r="AA72" s="294"/>
    </row>
    <row r="73" spans="1:27" s="335" customFormat="1">
      <c r="A73" s="294"/>
      <c r="B73" s="294"/>
      <c r="C73" s="294"/>
      <c r="D73" s="294"/>
      <c r="E73" s="351"/>
      <c r="F73" s="352"/>
      <c r="G73" s="351"/>
      <c r="H73" s="294"/>
      <c r="I73" s="294"/>
      <c r="J73" s="294"/>
      <c r="K73" s="294"/>
      <c r="L73" s="294"/>
      <c r="M73" s="294"/>
      <c r="N73" s="294"/>
      <c r="O73" s="294"/>
      <c r="P73" s="294"/>
      <c r="Q73" s="294"/>
      <c r="R73" s="294"/>
      <c r="S73" s="294"/>
      <c r="T73" s="294"/>
      <c r="U73" s="294"/>
      <c r="V73" s="294"/>
      <c r="W73" s="294"/>
      <c r="X73" s="294"/>
      <c r="Y73" s="294"/>
      <c r="Z73" s="294"/>
      <c r="AA73" s="294"/>
    </row>
    <row r="74" spans="1:27" s="335" customFormat="1">
      <c r="A74" s="294"/>
      <c r="B74" s="294"/>
      <c r="C74" s="294"/>
      <c r="D74" s="294"/>
      <c r="E74" s="351"/>
      <c r="F74" s="352"/>
      <c r="G74" s="351"/>
      <c r="H74" s="294"/>
      <c r="I74" s="294"/>
      <c r="J74" s="294"/>
      <c r="K74" s="294"/>
      <c r="L74" s="294"/>
      <c r="M74" s="294"/>
      <c r="N74" s="294"/>
      <c r="O74" s="294"/>
      <c r="P74" s="294"/>
      <c r="Q74" s="294"/>
      <c r="R74" s="294"/>
      <c r="S74" s="294"/>
      <c r="T74" s="294"/>
      <c r="U74" s="294"/>
      <c r="V74" s="294"/>
      <c r="W74" s="294"/>
      <c r="X74" s="294"/>
      <c r="Y74" s="294"/>
      <c r="Z74" s="294"/>
      <c r="AA74" s="294"/>
    </row>
    <row r="75" spans="1:27" s="335" customFormat="1">
      <c r="A75" s="294"/>
      <c r="B75" s="294"/>
      <c r="C75" s="294"/>
      <c r="D75" s="294"/>
      <c r="E75" s="351"/>
      <c r="F75" s="352"/>
      <c r="G75" s="351"/>
      <c r="H75" s="294"/>
      <c r="I75" s="294"/>
      <c r="J75" s="294"/>
      <c r="K75" s="294"/>
      <c r="L75" s="294"/>
      <c r="M75" s="294"/>
      <c r="N75" s="294"/>
      <c r="O75" s="294"/>
      <c r="P75" s="294"/>
      <c r="Q75" s="294"/>
      <c r="R75" s="294"/>
      <c r="S75" s="294"/>
      <c r="T75" s="294"/>
      <c r="U75" s="294"/>
      <c r="V75" s="294"/>
      <c r="W75" s="294"/>
      <c r="X75" s="294"/>
      <c r="Y75" s="294"/>
      <c r="Z75" s="294"/>
      <c r="AA75" s="294"/>
    </row>
    <row r="76" spans="1:27" s="335" customFormat="1">
      <c r="A76" s="294"/>
      <c r="B76" s="294"/>
      <c r="C76" s="294"/>
      <c r="D76" s="294"/>
      <c r="E76" s="351"/>
      <c r="F76" s="352"/>
      <c r="G76" s="351"/>
      <c r="H76" s="294"/>
      <c r="I76" s="294"/>
      <c r="J76" s="294"/>
      <c r="K76" s="294"/>
      <c r="L76" s="294"/>
      <c r="M76" s="294"/>
      <c r="N76" s="294"/>
      <c r="O76" s="294"/>
      <c r="P76" s="294"/>
      <c r="Q76" s="294"/>
      <c r="R76" s="294"/>
      <c r="S76" s="294"/>
      <c r="T76" s="294"/>
      <c r="U76" s="294"/>
      <c r="V76" s="294"/>
      <c r="W76" s="294"/>
      <c r="X76" s="294"/>
      <c r="Y76" s="294"/>
      <c r="Z76" s="294"/>
      <c r="AA76" s="294"/>
    </row>
    <row r="77" spans="1:27" s="335" customFormat="1">
      <c r="A77" s="294"/>
      <c r="B77" s="294"/>
      <c r="C77" s="294"/>
      <c r="D77" s="294"/>
      <c r="E77" s="351"/>
      <c r="F77" s="352"/>
      <c r="G77" s="351"/>
      <c r="H77" s="294"/>
      <c r="I77" s="294"/>
      <c r="J77" s="294"/>
      <c r="K77" s="294"/>
      <c r="L77" s="294"/>
      <c r="M77" s="294"/>
      <c r="N77" s="294"/>
      <c r="O77" s="294"/>
      <c r="P77" s="294"/>
      <c r="Q77" s="294"/>
      <c r="R77" s="294"/>
      <c r="S77" s="294"/>
      <c r="T77" s="294"/>
      <c r="U77" s="294"/>
      <c r="V77" s="294"/>
      <c r="W77" s="294"/>
      <c r="X77" s="294"/>
      <c r="Y77" s="294"/>
      <c r="Z77" s="294"/>
      <c r="AA77" s="294"/>
    </row>
    <row r="78" spans="1:27" s="335" customFormat="1">
      <c r="A78" s="294"/>
      <c r="B78" s="294"/>
      <c r="C78" s="294"/>
      <c r="D78" s="294"/>
      <c r="E78" s="351"/>
      <c r="F78" s="352"/>
      <c r="G78" s="351"/>
      <c r="H78" s="294"/>
      <c r="I78" s="294"/>
      <c r="J78" s="294"/>
      <c r="K78" s="294"/>
      <c r="L78" s="294"/>
      <c r="M78" s="294"/>
      <c r="N78" s="294"/>
      <c r="O78" s="294"/>
      <c r="P78" s="294"/>
      <c r="Q78" s="294"/>
      <c r="R78" s="294"/>
      <c r="S78" s="294"/>
      <c r="T78" s="294"/>
      <c r="U78" s="294"/>
      <c r="V78" s="294"/>
      <c r="W78" s="294"/>
      <c r="X78" s="294"/>
      <c r="Y78" s="294"/>
      <c r="Z78" s="294"/>
      <c r="AA78" s="294"/>
    </row>
    <row r="79" spans="1:27" s="335" customFormat="1">
      <c r="A79" s="294"/>
      <c r="B79" s="294"/>
      <c r="C79" s="294"/>
      <c r="D79" s="294"/>
      <c r="E79" s="351"/>
      <c r="F79" s="352"/>
      <c r="G79" s="351"/>
      <c r="H79" s="294"/>
      <c r="I79" s="294"/>
      <c r="J79" s="294"/>
      <c r="K79" s="294"/>
      <c r="L79" s="294"/>
      <c r="M79" s="294"/>
      <c r="N79" s="294"/>
      <c r="O79" s="294"/>
      <c r="P79" s="294"/>
      <c r="Q79" s="294"/>
      <c r="R79" s="294"/>
      <c r="S79" s="294"/>
      <c r="T79" s="294"/>
      <c r="U79" s="294"/>
      <c r="V79" s="294"/>
      <c r="W79" s="294"/>
      <c r="X79" s="294"/>
      <c r="Y79" s="294"/>
      <c r="Z79" s="294"/>
      <c r="AA79" s="294"/>
    </row>
    <row r="80" spans="1:27" s="335" customFormat="1">
      <c r="A80" s="294"/>
      <c r="B80" s="294"/>
      <c r="C80" s="294"/>
      <c r="D80" s="294"/>
      <c r="E80" s="351"/>
      <c r="F80" s="352"/>
      <c r="G80" s="351"/>
      <c r="H80" s="294"/>
      <c r="I80" s="294"/>
      <c r="J80" s="294"/>
      <c r="K80" s="294"/>
      <c r="L80" s="294"/>
      <c r="M80" s="294"/>
      <c r="N80" s="294"/>
      <c r="O80" s="294"/>
      <c r="P80" s="294"/>
      <c r="Q80" s="294"/>
      <c r="R80" s="294"/>
      <c r="S80" s="294"/>
      <c r="T80" s="294"/>
      <c r="U80" s="294"/>
      <c r="V80" s="294"/>
      <c r="W80" s="294"/>
      <c r="X80" s="294"/>
      <c r="Y80" s="294"/>
      <c r="Z80" s="294"/>
      <c r="AA80" s="294"/>
    </row>
    <row r="81" spans="1:27" s="335" customFormat="1">
      <c r="A81" s="294"/>
      <c r="B81" s="294"/>
      <c r="C81" s="294"/>
      <c r="D81" s="294"/>
      <c r="E81" s="351"/>
      <c r="F81" s="352"/>
      <c r="G81" s="351"/>
      <c r="H81" s="294"/>
      <c r="I81" s="294"/>
      <c r="J81" s="294"/>
      <c r="K81" s="294"/>
      <c r="L81" s="294"/>
      <c r="M81" s="294"/>
      <c r="N81" s="294"/>
      <c r="O81" s="294"/>
      <c r="P81" s="294"/>
      <c r="Q81" s="294"/>
      <c r="R81" s="294"/>
      <c r="S81" s="294"/>
      <c r="T81" s="294"/>
      <c r="U81" s="294"/>
      <c r="V81" s="294"/>
      <c r="W81" s="294"/>
      <c r="X81" s="294"/>
      <c r="Y81" s="294"/>
      <c r="Z81" s="294"/>
      <c r="AA81" s="294"/>
    </row>
    <row r="82" spans="1:27" s="335" customFormat="1">
      <c r="A82" s="294"/>
      <c r="B82" s="294"/>
      <c r="C82" s="294"/>
      <c r="D82" s="294"/>
      <c r="E82" s="351"/>
      <c r="F82" s="352"/>
      <c r="G82" s="351"/>
      <c r="H82" s="294"/>
      <c r="I82" s="294"/>
      <c r="J82" s="294"/>
      <c r="K82" s="294"/>
      <c r="L82" s="294"/>
      <c r="M82" s="294"/>
      <c r="N82" s="294"/>
      <c r="O82" s="294"/>
      <c r="P82" s="294"/>
      <c r="Q82" s="294"/>
      <c r="R82" s="294"/>
      <c r="S82" s="294"/>
      <c r="T82" s="294"/>
      <c r="U82" s="294"/>
      <c r="V82" s="294"/>
      <c r="W82" s="294"/>
      <c r="X82" s="294"/>
      <c r="Y82" s="294"/>
      <c r="Z82" s="294"/>
      <c r="AA82" s="294"/>
    </row>
    <row r="83" spans="1:27" s="335" customFormat="1">
      <c r="A83" s="294"/>
      <c r="B83" s="294"/>
      <c r="C83" s="294"/>
      <c r="D83" s="294"/>
      <c r="E83" s="351"/>
      <c r="F83" s="352"/>
      <c r="G83" s="351"/>
      <c r="H83" s="294"/>
      <c r="I83" s="294"/>
      <c r="J83" s="294"/>
      <c r="K83" s="294"/>
      <c r="L83" s="294"/>
      <c r="M83" s="294"/>
      <c r="N83" s="294"/>
      <c r="O83" s="294"/>
      <c r="P83" s="294"/>
      <c r="Q83" s="294"/>
      <c r="R83" s="294"/>
      <c r="S83" s="294"/>
      <c r="T83" s="294"/>
      <c r="U83" s="294"/>
      <c r="V83" s="294"/>
      <c r="W83" s="294"/>
      <c r="X83" s="294"/>
      <c r="Y83" s="294"/>
      <c r="Z83" s="294"/>
      <c r="AA83" s="294"/>
    </row>
    <row r="84" spans="1:27" s="335" customFormat="1">
      <c r="A84" s="294"/>
      <c r="B84" s="294"/>
      <c r="C84" s="294"/>
      <c r="D84" s="294"/>
      <c r="E84" s="351"/>
      <c r="F84" s="352"/>
      <c r="G84" s="351"/>
      <c r="H84" s="294"/>
      <c r="I84" s="294"/>
      <c r="J84" s="294"/>
      <c r="K84" s="294"/>
      <c r="L84" s="294"/>
      <c r="M84" s="294"/>
      <c r="N84" s="294"/>
      <c r="O84" s="294"/>
      <c r="P84" s="294"/>
      <c r="Q84" s="294"/>
      <c r="R84" s="294"/>
      <c r="S84" s="294"/>
      <c r="T84" s="294"/>
      <c r="U84" s="294"/>
      <c r="V84" s="294"/>
      <c r="W84" s="294"/>
      <c r="X84" s="294"/>
      <c r="Y84" s="294"/>
      <c r="Z84" s="294"/>
      <c r="AA84" s="294"/>
    </row>
    <row r="85" spans="1:27" s="335" customFormat="1">
      <c r="A85" s="294"/>
      <c r="B85" s="294"/>
      <c r="C85" s="294"/>
      <c r="D85" s="294"/>
      <c r="E85" s="351"/>
      <c r="F85" s="352"/>
      <c r="G85" s="351"/>
      <c r="H85" s="294"/>
      <c r="I85" s="294"/>
      <c r="J85" s="294"/>
      <c r="K85" s="294"/>
      <c r="L85" s="294"/>
      <c r="M85" s="294"/>
      <c r="N85" s="294"/>
      <c r="O85" s="294"/>
      <c r="P85" s="294"/>
      <c r="Q85" s="294"/>
      <c r="R85" s="294"/>
      <c r="S85" s="294"/>
      <c r="T85" s="294"/>
      <c r="U85" s="294"/>
      <c r="V85" s="294"/>
      <c r="W85" s="294"/>
      <c r="X85" s="294"/>
      <c r="Y85" s="294"/>
      <c r="Z85" s="294"/>
      <c r="AA85" s="294"/>
    </row>
    <row r="86" spans="1:27" s="335" customFormat="1">
      <c r="A86" s="294"/>
      <c r="B86" s="294"/>
      <c r="C86" s="294"/>
      <c r="D86" s="294"/>
      <c r="E86" s="351"/>
      <c r="F86" s="352"/>
      <c r="G86" s="351"/>
      <c r="H86" s="294"/>
      <c r="I86" s="294"/>
      <c r="J86" s="294"/>
      <c r="K86" s="294"/>
      <c r="L86" s="294"/>
      <c r="M86" s="294"/>
      <c r="N86" s="294"/>
      <c r="O86" s="294"/>
      <c r="P86" s="294"/>
      <c r="Q86" s="294"/>
      <c r="R86" s="294"/>
      <c r="S86" s="294"/>
      <c r="T86" s="294"/>
      <c r="U86" s="294"/>
      <c r="V86" s="294"/>
      <c r="W86" s="294"/>
      <c r="X86" s="294"/>
      <c r="Y86" s="294"/>
      <c r="Z86" s="294"/>
      <c r="AA86" s="294"/>
    </row>
    <row r="87" spans="1:27" s="335" customFormat="1">
      <c r="A87" s="294"/>
      <c r="B87" s="294"/>
      <c r="C87" s="294"/>
      <c r="D87" s="294"/>
      <c r="E87" s="351"/>
      <c r="F87" s="352"/>
      <c r="G87" s="351"/>
      <c r="H87" s="294"/>
      <c r="I87" s="294"/>
      <c r="J87" s="294"/>
      <c r="K87" s="294"/>
      <c r="L87" s="294"/>
      <c r="M87" s="294"/>
      <c r="N87" s="294"/>
      <c r="O87" s="294"/>
      <c r="P87" s="294"/>
      <c r="Q87" s="294"/>
      <c r="R87" s="294"/>
      <c r="S87" s="294"/>
      <c r="T87" s="294"/>
      <c r="U87" s="294"/>
      <c r="V87" s="294"/>
      <c r="W87" s="294"/>
      <c r="X87" s="294"/>
      <c r="Y87" s="294"/>
      <c r="Z87" s="294"/>
      <c r="AA87" s="294"/>
    </row>
    <row r="88" spans="1:27" s="335" customFormat="1">
      <c r="A88" s="294"/>
      <c r="B88" s="294"/>
      <c r="C88" s="294"/>
      <c r="D88" s="294"/>
      <c r="E88" s="351"/>
      <c r="F88" s="352"/>
      <c r="G88" s="351"/>
      <c r="H88" s="294"/>
      <c r="I88" s="294"/>
      <c r="J88" s="294"/>
      <c r="K88" s="294"/>
      <c r="L88" s="294"/>
      <c r="M88" s="294"/>
      <c r="N88" s="294"/>
      <c r="O88" s="294"/>
      <c r="P88" s="294"/>
      <c r="Q88" s="294"/>
      <c r="R88" s="294"/>
      <c r="S88" s="294"/>
      <c r="T88" s="294"/>
      <c r="U88" s="294"/>
      <c r="V88" s="294"/>
      <c r="W88" s="294"/>
      <c r="X88" s="294"/>
      <c r="Y88" s="294"/>
      <c r="Z88" s="294"/>
      <c r="AA88" s="294"/>
    </row>
    <row r="89" spans="1:27" s="335" customFormat="1">
      <c r="A89" s="294"/>
      <c r="B89" s="294"/>
      <c r="C89" s="294"/>
      <c r="D89" s="294"/>
      <c r="E89" s="351"/>
      <c r="F89" s="352"/>
      <c r="G89" s="351"/>
      <c r="H89" s="294"/>
      <c r="I89" s="294"/>
      <c r="J89" s="294"/>
      <c r="K89" s="294"/>
      <c r="L89" s="294"/>
      <c r="M89" s="294"/>
      <c r="N89" s="294"/>
      <c r="O89" s="294"/>
      <c r="P89" s="294"/>
      <c r="Q89" s="294"/>
      <c r="R89" s="294"/>
      <c r="S89" s="294"/>
      <c r="T89" s="294"/>
      <c r="U89" s="294"/>
      <c r="V89" s="294"/>
      <c r="W89" s="294"/>
      <c r="X89" s="294"/>
      <c r="Y89" s="294"/>
      <c r="Z89" s="294"/>
      <c r="AA89" s="294"/>
    </row>
    <row r="90" spans="1:27" s="335" customFormat="1">
      <c r="A90" s="294"/>
      <c r="B90" s="294"/>
      <c r="C90" s="294"/>
      <c r="D90" s="294"/>
      <c r="E90" s="351"/>
      <c r="F90" s="352"/>
      <c r="G90" s="351"/>
      <c r="H90" s="294"/>
      <c r="I90" s="294"/>
      <c r="J90" s="294"/>
      <c r="K90" s="294"/>
      <c r="L90" s="294"/>
      <c r="M90" s="294"/>
      <c r="N90" s="294"/>
      <c r="O90" s="294"/>
      <c r="P90" s="294"/>
      <c r="Q90" s="294"/>
      <c r="R90" s="294"/>
      <c r="S90" s="294"/>
      <c r="T90" s="294"/>
      <c r="U90" s="294"/>
      <c r="V90" s="294"/>
      <c r="W90" s="294"/>
      <c r="X90" s="294"/>
      <c r="Y90" s="294"/>
      <c r="Z90" s="294"/>
      <c r="AA90" s="294"/>
    </row>
    <row r="91" spans="1:27" s="335" customFormat="1">
      <c r="A91" s="294"/>
      <c r="B91" s="294"/>
      <c r="C91" s="294"/>
      <c r="D91" s="294"/>
      <c r="E91" s="351"/>
      <c r="F91" s="352"/>
      <c r="G91" s="351"/>
      <c r="H91" s="294"/>
      <c r="I91" s="294"/>
      <c r="J91" s="294"/>
      <c r="K91" s="294"/>
      <c r="L91" s="294"/>
      <c r="M91" s="294"/>
      <c r="N91" s="294"/>
      <c r="O91" s="294"/>
      <c r="P91" s="294"/>
      <c r="Q91" s="294"/>
      <c r="R91" s="294"/>
      <c r="S91" s="294"/>
      <c r="T91" s="294"/>
      <c r="U91" s="294"/>
      <c r="V91" s="294"/>
      <c r="W91" s="294"/>
      <c r="X91" s="294"/>
      <c r="Y91" s="294"/>
      <c r="Z91" s="294"/>
      <c r="AA91" s="294"/>
    </row>
    <row r="92" spans="1:27" s="335" customFormat="1">
      <c r="A92" s="294"/>
      <c r="B92" s="294"/>
      <c r="C92" s="294"/>
      <c r="D92" s="294"/>
      <c r="E92" s="351"/>
      <c r="F92" s="352"/>
      <c r="G92" s="351"/>
      <c r="H92" s="294"/>
      <c r="I92" s="294"/>
      <c r="J92" s="294"/>
      <c r="K92" s="294"/>
      <c r="L92" s="294"/>
      <c r="M92" s="294"/>
      <c r="N92" s="294"/>
      <c r="O92" s="294"/>
      <c r="P92" s="294"/>
      <c r="Q92" s="294"/>
      <c r="R92" s="294"/>
      <c r="S92" s="294"/>
      <c r="T92" s="294"/>
      <c r="U92" s="294"/>
      <c r="V92" s="294"/>
      <c r="W92" s="294"/>
      <c r="X92" s="294"/>
      <c r="Y92" s="294"/>
      <c r="Z92" s="294"/>
      <c r="AA92" s="294"/>
    </row>
    <row r="93" spans="1:27" s="335" customFormat="1">
      <c r="A93" s="294"/>
      <c r="B93" s="294"/>
      <c r="C93" s="294"/>
      <c r="D93" s="294"/>
      <c r="E93" s="351"/>
      <c r="F93" s="352"/>
      <c r="G93" s="351"/>
      <c r="H93" s="294"/>
      <c r="I93" s="294"/>
      <c r="J93" s="294"/>
      <c r="K93" s="294"/>
      <c r="L93" s="294"/>
      <c r="M93" s="294"/>
      <c r="N93" s="294"/>
      <c r="O93" s="294"/>
      <c r="P93" s="294"/>
      <c r="Q93" s="294"/>
      <c r="R93" s="294"/>
      <c r="S93" s="294"/>
      <c r="T93" s="294"/>
      <c r="U93" s="294"/>
      <c r="V93" s="294"/>
      <c r="W93" s="294"/>
      <c r="X93" s="294"/>
      <c r="Y93" s="294"/>
      <c r="Z93" s="294"/>
      <c r="AA93" s="294"/>
    </row>
    <row r="94" spans="1:27" s="335" customFormat="1">
      <c r="A94" s="294"/>
      <c r="B94" s="294"/>
      <c r="C94" s="294"/>
      <c r="D94" s="294"/>
      <c r="E94" s="351"/>
      <c r="F94" s="352"/>
      <c r="G94" s="351"/>
      <c r="H94" s="294"/>
      <c r="I94" s="294"/>
      <c r="J94" s="294"/>
      <c r="K94" s="294"/>
      <c r="L94" s="294"/>
      <c r="M94" s="294"/>
      <c r="N94" s="294"/>
      <c r="O94" s="294"/>
      <c r="P94" s="294"/>
      <c r="Q94" s="294"/>
      <c r="R94" s="294"/>
      <c r="S94" s="294"/>
      <c r="T94" s="294"/>
      <c r="U94" s="294"/>
      <c r="V94" s="294"/>
      <c r="W94" s="294"/>
      <c r="X94" s="294"/>
      <c r="Y94" s="294"/>
      <c r="Z94" s="294"/>
      <c r="AA94" s="294"/>
    </row>
    <row r="95" spans="1:27" s="335" customFormat="1">
      <c r="A95" s="294"/>
      <c r="B95" s="294"/>
      <c r="C95" s="294"/>
      <c r="D95" s="294"/>
      <c r="E95" s="351"/>
      <c r="F95" s="352"/>
      <c r="G95" s="351"/>
      <c r="H95" s="294"/>
      <c r="I95" s="294"/>
      <c r="J95" s="294"/>
      <c r="K95" s="294"/>
      <c r="L95" s="294"/>
      <c r="M95" s="294"/>
      <c r="N95" s="294"/>
      <c r="O95" s="294"/>
      <c r="P95" s="294"/>
      <c r="Q95" s="294"/>
      <c r="R95" s="294"/>
      <c r="S95" s="294"/>
      <c r="T95" s="294"/>
      <c r="U95" s="294"/>
      <c r="V95" s="294"/>
      <c r="W95" s="294"/>
      <c r="X95" s="294"/>
      <c r="Y95" s="294"/>
      <c r="Z95" s="294"/>
      <c r="AA95" s="294"/>
    </row>
    <row r="96" spans="1:27" s="335" customFormat="1">
      <c r="A96" s="294"/>
      <c r="B96" s="294"/>
      <c r="C96" s="294"/>
      <c r="D96" s="294"/>
      <c r="E96" s="351"/>
      <c r="F96" s="352"/>
      <c r="G96" s="351"/>
      <c r="H96" s="294"/>
      <c r="I96" s="294"/>
      <c r="J96" s="294"/>
      <c r="K96" s="294"/>
      <c r="L96" s="294"/>
      <c r="M96" s="294"/>
      <c r="N96" s="294"/>
      <c r="O96" s="294"/>
      <c r="P96" s="294"/>
      <c r="Q96" s="294"/>
      <c r="R96" s="294"/>
      <c r="S96" s="294"/>
      <c r="T96" s="294"/>
      <c r="U96" s="294"/>
      <c r="V96" s="294"/>
      <c r="W96" s="294"/>
      <c r="X96" s="294"/>
      <c r="Y96" s="294"/>
      <c r="Z96" s="294"/>
      <c r="AA96" s="294"/>
    </row>
    <row r="97" spans="1:27" s="335" customFormat="1">
      <c r="A97" s="294"/>
      <c r="B97" s="294"/>
      <c r="C97" s="294"/>
      <c r="D97" s="294"/>
      <c r="E97" s="351"/>
      <c r="F97" s="352"/>
      <c r="G97" s="351"/>
      <c r="H97" s="294"/>
      <c r="I97" s="294"/>
      <c r="J97" s="294"/>
      <c r="K97" s="294"/>
      <c r="L97" s="294"/>
      <c r="M97" s="294"/>
      <c r="N97" s="294"/>
      <c r="O97" s="294"/>
      <c r="P97" s="294"/>
      <c r="Q97" s="294"/>
      <c r="R97" s="294"/>
      <c r="S97" s="294"/>
      <c r="T97" s="294"/>
      <c r="U97" s="294"/>
      <c r="V97" s="294"/>
      <c r="W97" s="294"/>
      <c r="X97" s="294"/>
      <c r="Y97" s="294"/>
      <c r="Z97" s="294"/>
      <c r="AA97" s="294"/>
    </row>
    <row r="98" spans="1:27" s="335" customFormat="1">
      <c r="A98" s="294"/>
      <c r="B98" s="294"/>
      <c r="C98" s="294"/>
      <c r="D98" s="294"/>
      <c r="E98" s="351"/>
      <c r="F98" s="352"/>
      <c r="G98" s="351"/>
      <c r="H98" s="294"/>
      <c r="I98" s="294"/>
      <c r="J98" s="294"/>
      <c r="K98" s="294"/>
      <c r="L98" s="294"/>
      <c r="M98" s="294"/>
      <c r="N98" s="294"/>
      <c r="O98" s="294"/>
      <c r="P98" s="294"/>
      <c r="Q98" s="294"/>
      <c r="R98" s="294"/>
      <c r="S98" s="294"/>
      <c r="T98" s="294"/>
      <c r="U98" s="294"/>
      <c r="V98" s="294"/>
      <c r="W98" s="294"/>
      <c r="X98" s="294"/>
      <c r="Y98" s="294"/>
      <c r="Z98" s="294"/>
      <c r="AA98" s="294"/>
    </row>
    <row r="99" spans="1:27" s="335" customFormat="1">
      <c r="A99" s="294"/>
      <c r="B99" s="294"/>
      <c r="C99" s="294"/>
      <c r="D99" s="294"/>
      <c r="E99" s="351"/>
      <c r="F99" s="352"/>
      <c r="G99" s="351"/>
      <c r="H99" s="294"/>
      <c r="I99" s="294"/>
      <c r="J99" s="294"/>
      <c r="K99" s="294"/>
      <c r="L99" s="294"/>
      <c r="M99" s="294"/>
      <c r="N99" s="294"/>
      <c r="O99" s="294"/>
      <c r="P99" s="294"/>
      <c r="Q99" s="294"/>
      <c r="R99" s="294"/>
      <c r="S99" s="294"/>
      <c r="T99" s="294"/>
      <c r="U99" s="294"/>
      <c r="V99" s="294"/>
      <c r="W99" s="294"/>
      <c r="X99" s="294"/>
      <c r="Y99" s="294"/>
      <c r="Z99" s="294"/>
      <c r="AA99" s="294"/>
    </row>
    <row r="100" spans="1:27" s="335" customFormat="1">
      <c r="A100" s="294"/>
      <c r="B100" s="294"/>
      <c r="C100" s="294"/>
      <c r="D100" s="294"/>
      <c r="E100" s="351"/>
      <c r="F100" s="352"/>
      <c r="G100" s="351"/>
      <c r="H100" s="294"/>
      <c r="I100" s="294"/>
      <c r="J100" s="294"/>
      <c r="K100" s="294"/>
      <c r="L100" s="294"/>
      <c r="M100" s="294"/>
      <c r="N100" s="294"/>
      <c r="O100" s="294"/>
      <c r="P100" s="294"/>
      <c r="Q100" s="294"/>
      <c r="R100" s="294"/>
      <c r="S100" s="294"/>
      <c r="T100" s="294"/>
      <c r="U100" s="294"/>
      <c r="V100" s="294"/>
      <c r="W100" s="294"/>
      <c r="X100" s="294"/>
      <c r="Y100" s="294"/>
      <c r="Z100" s="294"/>
      <c r="AA100" s="294"/>
    </row>
    <row r="101" spans="1:27" s="335" customFormat="1">
      <c r="A101" s="294"/>
      <c r="B101" s="294"/>
      <c r="C101" s="294"/>
      <c r="D101" s="294"/>
      <c r="E101" s="351"/>
      <c r="F101" s="352"/>
      <c r="G101" s="351"/>
      <c r="H101" s="294"/>
      <c r="I101" s="294"/>
      <c r="J101" s="294"/>
      <c r="K101" s="294"/>
      <c r="L101" s="294"/>
      <c r="M101" s="294"/>
      <c r="N101" s="294"/>
      <c r="O101" s="294"/>
      <c r="P101" s="294"/>
      <c r="Q101" s="294"/>
      <c r="R101" s="294"/>
      <c r="S101" s="294"/>
      <c r="T101" s="294"/>
      <c r="U101" s="294"/>
      <c r="V101" s="294"/>
      <c r="W101" s="294"/>
      <c r="X101" s="294"/>
      <c r="Y101" s="294"/>
      <c r="Z101" s="294"/>
      <c r="AA101" s="294"/>
    </row>
    <row r="102" spans="1:27" s="335" customFormat="1">
      <c r="A102" s="294"/>
      <c r="B102" s="294"/>
      <c r="C102" s="294"/>
      <c r="D102" s="294"/>
      <c r="E102" s="351"/>
      <c r="F102" s="352"/>
      <c r="G102" s="351"/>
      <c r="H102" s="294"/>
      <c r="I102" s="294"/>
      <c r="J102" s="294"/>
      <c r="K102" s="294"/>
      <c r="L102" s="294"/>
      <c r="M102" s="294"/>
      <c r="N102" s="294"/>
      <c r="O102" s="294"/>
      <c r="P102" s="294"/>
      <c r="Q102" s="294"/>
      <c r="R102" s="294"/>
      <c r="S102" s="294"/>
      <c r="T102" s="294"/>
      <c r="U102" s="294"/>
      <c r="V102" s="294"/>
      <c r="W102" s="294"/>
      <c r="X102" s="294"/>
      <c r="Y102" s="294"/>
      <c r="Z102" s="294"/>
      <c r="AA102" s="294"/>
    </row>
    <row r="103" spans="1:27" s="335" customFormat="1">
      <c r="A103" s="294"/>
      <c r="B103" s="294"/>
      <c r="C103" s="294"/>
      <c r="D103" s="294"/>
      <c r="E103" s="351"/>
      <c r="F103" s="352"/>
      <c r="G103" s="351"/>
      <c r="H103" s="294"/>
      <c r="I103" s="294"/>
      <c r="J103" s="294"/>
      <c r="K103" s="294"/>
      <c r="L103" s="294"/>
      <c r="M103" s="294"/>
      <c r="N103" s="294"/>
      <c r="O103" s="294"/>
      <c r="P103" s="294"/>
      <c r="Q103" s="294"/>
      <c r="R103" s="294"/>
      <c r="S103" s="294"/>
      <c r="T103" s="294"/>
      <c r="U103" s="294"/>
      <c r="V103" s="294"/>
      <c r="W103" s="294"/>
      <c r="X103" s="294"/>
      <c r="Y103" s="294"/>
      <c r="Z103" s="294"/>
      <c r="AA103" s="294"/>
    </row>
    <row r="104" spans="1:27" s="335" customFormat="1">
      <c r="A104" s="294"/>
      <c r="B104" s="294"/>
      <c r="C104" s="294"/>
      <c r="D104" s="294"/>
      <c r="E104" s="351"/>
      <c r="F104" s="352"/>
      <c r="G104" s="351"/>
      <c r="H104" s="294"/>
      <c r="I104" s="294"/>
      <c r="J104" s="294"/>
      <c r="K104" s="294"/>
      <c r="L104" s="294"/>
      <c r="M104" s="294"/>
      <c r="N104" s="294"/>
      <c r="O104" s="294"/>
      <c r="P104" s="294"/>
      <c r="Q104" s="294"/>
      <c r="R104" s="294"/>
      <c r="S104" s="294"/>
      <c r="T104" s="294"/>
      <c r="U104" s="294"/>
      <c r="V104" s="294"/>
      <c r="W104" s="294"/>
      <c r="X104" s="294"/>
      <c r="Y104" s="294"/>
      <c r="Z104" s="294"/>
      <c r="AA104" s="294"/>
    </row>
    <row r="105" spans="1:27" s="335" customFormat="1">
      <c r="A105" s="294"/>
      <c r="B105" s="294"/>
      <c r="C105" s="294"/>
      <c r="D105" s="294"/>
      <c r="E105" s="351"/>
      <c r="F105" s="352"/>
      <c r="G105" s="351"/>
      <c r="H105" s="294"/>
      <c r="I105" s="294"/>
      <c r="J105" s="294"/>
      <c r="K105" s="294"/>
      <c r="L105" s="294"/>
      <c r="M105" s="294"/>
      <c r="N105" s="294"/>
      <c r="O105" s="294"/>
      <c r="P105" s="294"/>
      <c r="Q105" s="294"/>
      <c r="R105" s="294"/>
      <c r="S105" s="294"/>
      <c r="T105" s="294"/>
      <c r="U105" s="294"/>
      <c r="V105" s="294"/>
      <c r="W105" s="294"/>
      <c r="X105" s="294"/>
      <c r="Y105" s="294"/>
      <c r="Z105" s="294"/>
      <c r="AA105" s="294"/>
    </row>
    <row r="106" spans="1:27" s="335" customFormat="1">
      <c r="A106" s="294"/>
      <c r="B106" s="294"/>
      <c r="C106" s="294"/>
      <c r="D106" s="294"/>
      <c r="E106" s="351"/>
      <c r="F106" s="352"/>
      <c r="G106" s="351"/>
      <c r="H106" s="294"/>
      <c r="I106" s="294"/>
      <c r="J106" s="294"/>
      <c r="K106" s="294"/>
      <c r="L106" s="294"/>
      <c r="M106" s="294"/>
      <c r="N106" s="294"/>
      <c r="O106" s="294"/>
      <c r="P106" s="294"/>
      <c r="Q106" s="294"/>
      <c r="R106" s="294"/>
      <c r="S106" s="294"/>
      <c r="T106" s="294"/>
      <c r="U106" s="294"/>
      <c r="V106" s="294"/>
      <c r="W106" s="294"/>
      <c r="X106" s="294"/>
      <c r="Y106" s="294"/>
      <c r="Z106" s="294"/>
      <c r="AA106" s="294"/>
    </row>
    <row r="107" spans="1:27" s="335" customFormat="1">
      <c r="A107" s="294"/>
      <c r="B107" s="294"/>
      <c r="C107" s="294"/>
      <c r="D107" s="294"/>
      <c r="E107" s="351"/>
      <c r="F107" s="352"/>
      <c r="G107" s="351"/>
      <c r="H107" s="294"/>
      <c r="I107" s="294"/>
      <c r="J107" s="294"/>
      <c r="K107" s="294"/>
      <c r="L107" s="294"/>
      <c r="M107" s="294"/>
      <c r="N107" s="294"/>
      <c r="O107" s="294"/>
      <c r="P107" s="294"/>
      <c r="Q107" s="294"/>
      <c r="R107" s="294"/>
      <c r="S107" s="294"/>
      <c r="T107" s="294"/>
      <c r="U107" s="294"/>
      <c r="V107" s="294"/>
      <c r="W107" s="294"/>
      <c r="X107" s="294"/>
      <c r="Y107" s="294"/>
      <c r="Z107" s="294"/>
      <c r="AA107" s="294"/>
    </row>
    <row r="108" spans="1:27" s="335" customFormat="1">
      <c r="A108" s="294"/>
      <c r="B108" s="294"/>
      <c r="C108" s="294"/>
      <c r="D108" s="294"/>
      <c r="E108" s="351"/>
      <c r="F108" s="352"/>
      <c r="G108" s="351"/>
      <c r="H108" s="294"/>
      <c r="I108" s="294"/>
      <c r="J108" s="294"/>
      <c r="K108" s="294"/>
      <c r="L108" s="294"/>
      <c r="M108" s="294"/>
      <c r="N108" s="294"/>
      <c r="O108" s="294"/>
      <c r="P108" s="294"/>
      <c r="Q108" s="294"/>
      <c r="R108" s="294"/>
      <c r="S108" s="294"/>
      <c r="T108" s="294"/>
      <c r="U108" s="294"/>
      <c r="V108" s="294"/>
      <c r="W108" s="294"/>
      <c r="X108" s="294"/>
      <c r="Y108" s="294"/>
      <c r="Z108" s="294"/>
      <c r="AA108" s="294"/>
    </row>
    <row r="109" spans="1:27" s="335" customFormat="1">
      <c r="A109" s="294"/>
      <c r="B109" s="294"/>
      <c r="C109" s="294"/>
      <c r="D109" s="294"/>
      <c r="E109" s="351"/>
      <c r="F109" s="352"/>
      <c r="G109" s="351"/>
      <c r="H109" s="294"/>
      <c r="I109" s="294"/>
      <c r="J109" s="294"/>
      <c r="K109" s="294"/>
      <c r="L109" s="294"/>
      <c r="M109" s="294"/>
      <c r="N109" s="294"/>
      <c r="O109" s="294"/>
      <c r="P109" s="294"/>
      <c r="Q109" s="294"/>
      <c r="R109" s="294"/>
      <c r="S109" s="294"/>
      <c r="T109" s="294"/>
      <c r="U109" s="294"/>
      <c r="V109" s="294"/>
      <c r="W109" s="294"/>
      <c r="X109" s="294"/>
      <c r="Y109" s="294"/>
      <c r="Z109" s="294"/>
      <c r="AA109" s="294"/>
    </row>
    <row r="110" spans="1:27" s="335" customFormat="1">
      <c r="A110" s="294"/>
      <c r="B110" s="294"/>
      <c r="C110" s="294"/>
      <c r="D110" s="294"/>
      <c r="E110" s="351"/>
      <c r="F110" s="352"/>
      <c r="G110" s="351"/>
      <c r="H110" s="294"/>
      <c r="I110" s="294"/>
      <c r="J110" s="294"/>
      <c r="K110" s="294"/>
      <c r="L110" s="294"/>
      <c r="M110" s="294"/>
      <c r="N110" s="294"/>
      <c r="O110" s="294"/>
      <c r="P110" s="294"/>
      <c r="Q110" s="294"/>
      <c r="R110" s="294"/>
      <c r="S110" s="294"/>
      <c r="T110" s="294"/>
      <c r="U110" s="294"/>
      <c r="V110" s="294"/>
      <c r="W110" s="294"/>
      <c r="X110" s="294"/>
      <c r="Y110" s="294"/>
      <c r="Z110" s="294"/>
      <c r="AA110" s="294"/>
    </row>
    <row r="111" spans="1:27" s="335" customFormat="1">
      <c r="A111" s="294"/>
      <c r="B111" s="294"/>
      <c r="C111" s="294"/>
      <c r="D111" s="294"/>
      <c r="E111" s="351"/>
      <c r="F111" s="352"/>
      <c r="G111" s="351"/>
      <c r="H111" s="294"/>
      <c r="I111" s="294"/>
      <c r="J111" s="294"/>
      <c r="K111" s="294"/>
      <c r="L111" s="294"/>
      <c r="M111" s="294"/>
      <c r="N111" s="294"/>
      <c r="O111" s="294"/>
      <c r="P111" s="294"/>
      <c r="Q111" s="294"/>
      <c r="R111" s="294"/>
      <c r="S111" s="294"/>
      <c r="T111" s="294"/>
      <c r="U111" s="294"/>
      <c r="V111" s="294"/>
      <c r="W111" s="294"/>
      <c r="X111" s="294"/>
      <c r="Y111" s="294"/>
      <c r="Z111" s="294"/>
      <c r="AA111" s="294"/>
    </row>
    <row r="112" spans="1:27" s="335" customFormat="1">
      <c r="A112" s="294"/>
      <c r="B112" s="294"/>
      <c r="C112" s="294"/>
      <c r="D112" s="294"/>
      <c r="E112" s="351"/>
      <c r="F112" s="352"/>
      <c r="G112" s="351"/>
      <c r="H112" s="294"/>
      <c r="I112" s="294"/>
      <c r="J112" s="294"/>
      <c r="K112" s="294"/>
      <c r="L112" s="294"/>
      <c r="M112" s="294"/>
      <c r="N112" s="294"/>
      <c r="O112" s="294"/>
      <c r="P112" s="294"/>
      <c r="Q112" s="294"/>
      <c r="R112" s="294"/>
      <c r="S112" s="294"/>
      <c r="T112" s="294"/>
      <c r="U112" s="294"/>
      <c r="V112" s="294"/>
      <c r="W112" s="294"/>
      <c r="X112" s="294"/>
      <c r="Y112" s="294"/>
      <c r="Z112" s="294"/>
      <c r="AA112" s="294"/>
    </row>
    <row r="113" spans="1:27" s="335" customFormat="1">
      <c r="A113" s="294"/>
      <c r="B113" s="294"/>
      <c r="C113" s="294"/>
      <c r="D113" s="294"/>
      <c r="E113" s="351"/>
      <c r="F113" s="352"/>
      <c r="G113" s="351"/>
      <c r="H113" s="294"/>
      <c r="I113" s="294"/>
      <c r="J113" s="294"/>
      <c r="K113" s="294"/>
      <c r="L113" s="294"/>
      <c r="M113" s="294"/>
      <c r="N113" s="294"/>
      <c r="O113" s="294"/>
      <c r="P113" s="294"/>
      <c r="Q113" s="294"/>
      <c r="R113" s="294"/>
      <c r="S113" s="294"/>
      <c r="T113" s="294"/>
      <c r="U113" s="294"/>
      <c r="V113" s="294"/>
      <c r="W113" s="294"/>
      <c r="X113" s="294"/>
      <c r="Y113" s="294"/>
      <c r="Z113" s="294"/>
      <c r="AA113" s="294"/>
    </row>
    <row r="114" spans="1:27" s="335" customFormat="1">
      <c r="A114" s="294"/>
      <c r="B114" s="294"/>
      <c r="C114" s="294"/>
      <c r="D114" s="294"/>
      <c r="E114" s="351"/>
      <c r="F114" s="352"/>
      <c r="G114" s="351"/>
      <c r="H114" s="294"/>
      <c r="I114" s="294"/>
      <c r="J114" s="294"/>
      <c r="K114" s="294"/>
      <c r="L114" s="294"/>
      <c r="M114" s="294"/>
      <c r="N114" s="294"/>
      <c r="O114" s="294"/>
      <c r="P114" s="294"/>
      <c r="Q114" s="294"/>
      <c r="R114" s="294"/>
      <c r="S114" s="294"/>
      <c r="T114" s="294"/>
      <c r="U114" s="294"/>
      <c r="V114" s="294"/>
      <c r="W114" s="294"/>
      <c r="X114" s="294"/>
      <c r="Y114" s="294"/>
      <c r="Z114" s="294"/>
      <c r="AA114" s="294"/>
    </row>
    <row r="115" spans="1:27" s="335" customFormat="1">
      <c r="A115" s="294"/>
      <c r="B115" s="294"/>
      <c r="C115" s="294"/>
      <c r="D115" s="294"/>
      <c r="E115" s="351"/>
      <c r="F115" s="352"/>
      <c r="G115" s="351"/>
      <c r="H115" s="294"/>
      <c r="I115" s="294"/>
      <c r="J115" s="294"/>
      <c r="K115" s="294"/>
      <c r="L115" s="294"/>
      <c r="M115" s="294"/>
      <c r="N115" s="294"/>
      <c r="O115" s="294"/>
      <c r="P115" s="294"/>
      <c r="Q115" s="294"/>
      <c r="R115" s="294"/>
      <c r="S115" s="294"/>
      <c r="T115" s="294"/>
      <c r="U115" s="294"/>
      <c r="V115" s="294"/>
      <c r="W115" s="294"/>
      <c r="X115" s="294"/>
      <c r="Y115" s="294"/>
      <c r="Z115" s="294"/>
      <c r="AA115" s="294"/>
    </row>
    <row r="116" spans="1:27" s="335" customFormat="1">
      <c r="A116" s="294"/>
      <c r="B116" s="294"/>
      <c r="C116" s="294"/>
      <c r="D116" s="294"/>
      <c r="E116" s="351"/>
      <c r="F116" s="352"/>
      <c r="G116" s="351"/>
      <c r="H116" s="294"/>
      <c r="I116" s="294"/>
      <c r="J116" s="294"/>
      <c r="K116" s="294"/>
      <c r="L116" s="294"/>
      <c r="M116" s="294"/>
      <c r="N116" s="294"/>
      <c r="O116" s="294"/>
      <c r="P116" s="294"/>
      <c r="Q116" s="294"/>
      <c r="R116" s="294"/>
      <c r="S116" s="294"/>
      <c r="T116" s="294"/>
      <c r="U116" s="294"/>
      <c r="V116" s="294"/>
      <c r="W116" s="294"/>
      <c r="X116" s="294"/>
      <c r="Y116" s="294"/>
      <c r="Z116" s="294"/>
      <c r="AA116" s="294"/>
    </row>
    <row r="117" spans="1:27" s="335" customFormat="1">
      <c r="A117" s="294"/>
      <c r="B117" s="294"/>
      <c r="C117" s="294"/>
      <c r="D117" s="294"/>
      <c r="E117" s="351"/>
      <c r="F117" s="352"/>
      <c r="G117" s="351"/>
      <c r="H117" s="294"/>
      <c r="I117" s="294"/>
      <c r="J117" s="294"/>
      <c r="K117" s="294"/>
      <c r="L117" s="294"/>
      <c r="M117" s="294"/>
      <c r="N117" s="294"/>
      <c r="O117" s="294"/>
      <c r="P117" s="294"/>
      <c r="Q117" s="294"/>
      <c r="R117" s="294"/>
      <c r="S117" s="294"/>
      <c r="T117" s="294"/>
      <c r="U117" s="294"/>
      <c r="V117" s="294"/>
      <c r="W117" s="294"/>
      <c r="X117" s="294"/>
      <c r="Y117" s="294"/>
      <c r="Z117" s="294"/>
      <c r="AA117" s="294"/>
    </row>
    <row r="118" spans="1:27" s="335" customFormat="1">
      <c r="A118" s="294"/>
      <c r="B118" s="294"/>
      <c r="C118" s="294"/>
      <c r="D118" s="294"/>
      <c r="E118" s="351"/>
      <c r="F118" s="352"/>
      <c r="G118" s="351"/>
      <c r="H118" s="294"/>
      <c r="I118" s="294"/>
      <c r="J118" s="294"/>
      <c r="K118" s="294"/>
      <c r="L118" s="294"/>
      <c r="M118" s="294"/>
      <c r="N118" s="294"/>
      <c r="O118" s="294"/>
      <c r="P118" s="294"/>
      <c r="Q118" s="294"/>
      <c r="R118" s="294"/>
      <c r="S118" s="294"/>
      <c r="T118" s="294"/>
      <c r="U118" s="294"/>
      <c r="V118" s="294"/>
      <c r="W118" s="294"/>
      <c r="X118" s="294"/>
      <c r="Y118" s="294"/>
      <c r="Z118" s="294"/>
      <c r="AA118" s="294"/>
    </row>
    <row r="119" spans="1:27" s="335" customFormat="1">
      <c r="A119" s="294"/>
      <c r="B119" s="294"/>
      <c r="C119" s="294"/>
      <c r="D119" s="294"/>
      <c r="E119" s="351"/>
      <c r="F119" s="352"/>
      <c r="G119" s="351"/>
      <c r="H119" s="294"/>
      <c r="I119" s="294"/>
      <c r="J119" s="294"/>
      <c r="K119" s="294"/>
      <c r="L119" s="294"/>
      <c r="M119" s="294"/>
      <c r="N119" s="294"/>
      <c r="O119" s="294"/>
      <c r="P119" s="294"/>
      <c r="Q119" s="294"/>
      <c r="R119" s="294"/>
      <c r="S119" s="294"/>
      <c r="T119" s="294"/>
      <c r="U119" s="294"/>
      <c r="V119" s="294"/>
      <c r="W119" s="294"/>
      <c r="X119" s="294"/>
      <c r="Y119" s="294"/>
      <c r="Z119" s="294"/>
      <c r="AA119" s="294"/>
    </row>
    <row r="120" spans="1:27" s="335" customFormat="1">
      <c r="A120" s="294"/>
      <c r="B120" s="294"/>
      <c r="C120" s="294"/>
      <c r="D120" s="294"/>
      <c r="E120" s="351"/>
      <c r="F120" s="352"/>
      <c r="G120" s="351"/>
      <c r="H120" s="294"/>
      <c r="I120" s="294"/>
      <c r="J120" s="294"/>
      <c r="K120" s="294"/>
      <c r="L120" s="294"/>
      <c r="M120" s="294"/>
      <c r="N120" s="294"/>
      <c r="O120" s="294"/>
      <c r="P120" s="294"/>
      <c r="Q120" s="294"/>
      <c r="R120" s="294"/>
      <c r="S120" s="294"/>
      <c r="T120" s="294"/>
      <c r="U120" s="294"/>
      <c r="V120" s="294"/>
      <c r="W120" s="294"/>
      <c r="X120" s="294"/>
      <c r="Y120" s="294"/>
      <c r="Z120" s="294"/>
      <c r="AA120" s="294"/>
    </row>
    <row r="121" spans="1:27" s="335" customFormat="1">
      <c r="A121" s="294"/>
      <c r="B121" s="294"/>
      <c r="C121" s="294"/>
      <c r="D121" s="294"/>
      <c r="E121" s="351"/>
      <c r="F121" s="352"/>
      <c r="G121" s="351"/>
      <c r="H121" s="294"/>
      <c r="I121" s="294"/>
      <c r="J121" s="294"/>
      <c r="K121" s="294"/>
      <c r="L121" s="294"/>
      <c r="M121" s="294"/>
      <c r="N121" s="294"/>
      <c r="O121" s="294"/>
      <c r="P121" s="294"/>
      <c r="Q121" s="294"/>
      <c r="R121" s="294"/>
      <c r="S121" s="294"/>
      <c r="T121" s="294"/>
      <c r="U121" s="294"/>
      <c r="V121" s="294"/>
      <c r="W121" s="294"/>
      <c r="X121" s="294"/>
      <c r="Y121" s="294"/>
      <c r="Z121" s="294"/>
      <c r="AA121" s="294"/>
    </row>
    <row r="122" spans="1:27" s="335" customFormat="1">
      <c r="A122" s="294"/>
      <c r="B122" s="294"/>
      <c r="C122" s="294"/>
      <c r="D122" s="294"/>
      <c r="E122" s="351"/>
      <c r="F122" s="352"/>
      <c r="G122" s="351"/>
      <c r="H122" s="294"/>
      <c r="I122" s="294"/>
      <c r="J122" s="294"/>
      <c r="K122" s="294"/>
      <c r="L122" s="294"/>
      <c r="M122" s="294"/>
      <c r="N122" s="294"/>
      <c r="O122" s="294"/>
      <c r="P122" s="294"/>
      <c r="Q122" s="294"/>
      <c r="R122" s="294"/>
      <c r="S122" s="294"/>
      <c r="T122" s="294"/>
      <c r="U122" s="294"/>
      <c r="V122" s="294"/>
      <c r="W122" s="294"/>
      <c r="X122" s="294"/>
      <c r="Y122" s="294"/>
      <c r="Z122" s="294"/>
      <c r="AA122" s="294"/>
    </row>
    <row r="123" spans="1:27" s="335" customFormat="1">
      <c r="A123" s="294"/>
      <c r="B123" s="294"/>
      <c r="C123" s="294"/>
      <c r="D123" s="294"/>
      <c r="E123" s="351"/>
      <c r="F123" s="352"/>
      <c r="G123" s="351"/>
      <c r="H123" s="294"/>
      <c r="I123" s="294"/>
      <c r="J123" s="294"/>
      <c r="K123" s="294"/>
      <c r="L123" s="294"/>
      <c r="M123" s="294"/>
      <c r="N123" s="294"/>
      <c r="O123" s="294"/>
      <c r="P123" s="294"/>
      <c r="Q123" s="294"/>
      <c r="R123" s="294"/>
      <c r="S123" s="294"/>
      <c r="T123" s="294"/>
      <c r="U123" s="294"/>
      <c r="V123" s="294"/>
      <c r="W123" s="294"/>
      <c r="X123" s="294"/>
      <c r="Y123" s="294"/>
      <c r="Z123" s="294"/>
      <c r="AA123" s="294"/>
    </row>
    <row r="124" spans="1:27" s="335" customFormat="1">
      <c r="A124" s="294"/>
      <c r="B124" s="294"/>
      <c r="C124" s="294"/>
      <c r="D124" s="294"/>
      <c r="E124" s="351"/>
      <c r="F124" s="352"/>
      <c r="G124" s="351"/>
      <c r="H124" s="294"/>
      <c r="I124" s="294"/>
      <c r="J124" s="294"/>
      <c r="K124" s="294"/>
      <c r="L124" s="294"/>
      <c r="M124" s="294"/>
      <c r="N124" s="294"/>
      <c r="O124" s="294"/>
      <c r="P124" s="294"/>
      <c r="Q124" s="294"/>
      <c r="R124" s="294"/>
      <c r="S124" s="294"/>
      <c r="T124" s="294"/>
      <c r="U124" s="294"/>
      <c r="V124" s="294"/>
      <c r="W124" s="294"/>
      <c r="X124" s="294"/>
      <c r="Y124" s="294"/>
      <c r="Z124" s="294"/>
      <c r="AA124" s="294"/>
    </row>
    <row r="125" spans="1:27" s="335" customFormat="1">
      <c r="A125" s="294"/>
      <c r="B125" s="294"/>
      <c r="C125" s="294"/>
      <c r="D125" s="294"/>
      <c r="E125" s="351"/>
      <c r="F125" s="352"/>
      <c r="G125" s="351"/>
      <c r="H125" s="294"/>
      <c r="I125" s="294"/>
      <c r="J125" s="294"/>
      <c r="K125" s="294"/>
      <c r="L125" s="294"/>
      <c r="M125" s="294"/>
      <c r="N125" s="294"/>
      <c r="O125" s="294"/>
      <c r="P125" s="294"/>
      <c r="Q125" s="294"/>
      <c r="R125" s="294"/>
      <c r="S125" s="294"/>
      <c r="T125" s="294"/>
      <c r="U125" s="294"/>
      <c r="V125" s="294"/>
      <c r="W125" s="294"/>
      <c r="X125" s="294"/>
      <c r="Y125" s="294"/>
      <c r="Z125" s="294"/>
      <c r="AA125" s="294"/>
    </row>
    <row r="126" spans="1:27" s="335" customFormat="1">
      <c r="A126" s="294"/>
      <c r="B126" s="294"/>
      <c r="C126" s="294"/>
      <c r="D126" s="294"/>
      <c r="E126" s="351"/>
      <c r="F126" s="352"/>
      <c r="G126" s="351"/>
      <c r="H126" s="294"/>
      <c r="I126" s="294"/>
      <c r="J126" s="294"/>
      <c r="K126" s="294"/>
      <c r="L126" s="294"/>
      <c r="M126" s="294"/>
      <c r="N126" s="294"/>
      <c r="O126" s="294"/>
      <c r="P126" s="294"/>
      <c r="Q126" s="294"/>
      <c r="R126" s="294"/>
      <c r="S126" s="294"/>
      <c r="T126" s="294"/>
      <c r="U126" s="294"/>
      <c r="V126" s="294"/>
      <c r="W126" s="294"/>
      <c r="X126" s="294"/>
      <c r="Y126" s="294"/>
      <c r="Z126" s="294"/>
      <c r="AA126" s="294"/>
    </row>
    <row r="127" spans="1:27" s="335" customFormat="1">
      <c r="A127" s="294"/>
      <c r="B127" s="294"/>
      <c r="C127" s="294"/>
      <c r="D127" s="294"/>
      <c r="E127" s="351"/>
      <c r="F127" s="352"/>
      <c r="G127" s="351"/>
      <c r="H127" s="294"/>
      <c r="I127" s="294"/>
      <c r="J127" s="294"/>
      <c r="K127" s="294"/>
      <c r="L127" s="294"/>
      <c r="M127" s="294"/>
      <c r="N127" s="294"/>
      <c r="O127" s="294"/>
      <c r="P127" s="294"/>
      <c r="Q127" s="294"/>
      <c r="R127" s="294"/>
      <c r="S127" s="294"/>
      <c r="T127" s="294"/>
      <c r="U127" s="294"/>
      <c r="V127" s="294"/>
      <c r="W127" s="294"/>
      <c r="X127" s="294"/>
      <c r="Y127" s="294"/>
      <c r="Z127" s="294"/>
      <c r="AA127" s="294"/>
    </row>
    <row r="128" spans="1:27">
      <c r="E128" s="351"/>
      <c r="G128" s="351"/>
      <c r="H128" s="294"/>
    </row>
    <row r="129" spans="5:8">
      <c r="E129" s="351"/>
      <c r="G129" s="351"/>
      <c r="H129" s="294"/>
    </row>
    <row r="130" spans="5:8">
      <c r="E130" s="351"/>
      <c r="G130" s="351"/>
      <c r="H130" s="294"/>
    </row>
    <row r="131" spans="5:8">
      <c r="E131" s="351"/>
      <c r="G131" s="351"/>
      <c r="H131" s="294"/>
    </row>
    <row r="132" spans="5:8">
      <c r="E132" s="351"/>
      <c r="G132" s="351"/>
      <c r="H132" s="294"/>
    </row>
    <row r="133" spans="5:8">
      <c r="E133" s="351"/>
      <c r="G133" s="351"/>
      <c r="H133" s="294"/>
    </row>
    <row r="134" spans="5:8">
      <c r="E134" s="351"/>
      <c r="G134" s="351"/>
      <c r="H134" s="294"/>
    </row>
    <row r="135" spans="5:8">
      <c r="E135" s="351"/>
      <c r="G135" s="351"/>
      <c r="H135" s="294"/>
    </row>
  </sheetData>
  <sheetProtection algorithmName="SHA-512" hashValue="o9JrqKDCoty8vnq7t9idYfS+47L1uajP01KhlESHOLR5/GrpcqwSzak3mffBiXd+9Ozw5IkitwptUMIkrzeFhg==" saltValue="LX2l/8ppdExmwsHeNWr7kg==" spinCount="100000" sheet="1" objects="1" scenarios="1"/>
  <mergeCells count="77">
    <mergeCell ref="I14:O14"/>
    <mergeCell ref="B1:E2"/>
    <mergeCell ref="F1:H1"/>
    <mergeCell ref="F4:H4"/>
    <mergeCell ref="B5:B11"/>
    <mergeCell ref="F5:H5"/>
    <mergeCell ref="F6:H6"/>
    <mergeCell ref="F7:H7"/>
    <mergeCell ref="F8:H8"/>
    <mergeCell ref="F9:H9"/>
    <mergeCell ref="F10:H10"/>
    <mergeCell ref="F11:H11"/>
    <mergeCell ref="F13:H13"/>
    <mergeCell ref="F14:H14"/>
    <mergeCell ref="F16:H16"/>
    <mergeCell ref="B17:B24"/>
    <mergeCell ref="F17:H17"/>
    <mergeCell ref="F18:H18"/>
    <mergeCell ref="F19:H19"/>
    <mergeCell ref="F20:H20"/>
    <mergeCell ref="F21:H21"/>
    <mergeCell ref="F22:H22"/>
    <mergeCell ref="F23:H23"/>
    <mergeCell ref="F24:H24"/>
    <mergeCell ref="B25:B29"/>
    <mergeCell ref="F25:H25"/>
    <mergeCell ref="F26:H26"/>
    <mergeCell ref="F27:H27"/>
    <mergeCell ref="F28:H28"/>
    <mergeCell ref="F29:H29"/>
    <mergeCell ref="F41:H41"/>
    <mergeCell ref="F42:H42"/>
    <mergeCell ref="B30:B35"/>
    <mergeCell ref="F30:H30"/>
    <mergeCell ref="F31:H31"/>
    <mergeCell ref="F32:H32"/>
    <mergeCell ref="F33:H33"/>
    <mergeCell ref="F34:H34"/>
    <mergeCell ref="F35:H35"/>
    <mergeCell ref="F36:H36"/>
    <mergeCell ref="F37:H37"/>
    <mergeCell ref="B38:B39"/>
    <mergeCell ref="F38:H38"/>
    <mergeCell ref="C36:C37"/>
    <mergeCell ref="C38:C39"/>
    <mergeCell ref="C41:C42"/>
    <mergeCell ref="B43:B44"/>
    <mergeCell ref="F43:H43"/>
    <mergeCell ref="F44:H44"/>
    <mergeCell ref="F45:H45"/>
    <mergeCell ref="B47:D47"/>
    <mergeCell ref="F47:H47"/>
    <mergeCell ref="C43:C44"/>
    <mergeCell ref="B54:D54"/>
    <mergeCell ref="F54:H54"/>
    <mergeCell ref="B48:D48"/>
    <mergeCell ref="F48:H48"/>
    <mergeCell ref="B49:D49"/>
    <mergeCell ref="F49:H49"/>
    <mergeCell ref="B50:D50"/>
    <mergeCell ref="F50:H50"/>
    <mergeCell ref="E58:H62"/>
    <mergeCell ref="D3:H3"/>
    <mergeCell ref="C5:C11"/>
    <mergeCell ref="C17:C24"/>
    <mergeCell ref="C25:C29"/>
    <mergeCell ref="C30:C35"/>
    <mergeCell ref="G55:H56"/>
    <mergeCell ref="B56:D56"/>
    <mergeCell ref="B57:D57"/>
    <mergeCell ref="B58:D58"/>
    <mergeCell ref="B60:D60"/>
    <mergeCell ref="B61:D62"/>
    <mergeCell ref="B51:D51"/>
    <mergeCell ref="F51:H51"/>
    <mergeCell ref="G52:H53"/>
    <mergeCell ref="B53:D53"/>
  </mergeCells>
  <conditionalFormatting sqref="F48:F51">
    <cfRule type="cellIs" dxfId="65" priority="2" operator="between">
      <formula>0.01</formula>
      <formula>-0.01</formula>
    </cfRule>
  </conditionalFormatting>
  <conditionalFormatting sqref="F54">
    <cfRule type="cellIs" dxfId="64" priority="1" operator="between">
      <formula>0.01</formula>
      <formula>-0.01</formula>
    </cfRule>
  </conditionalFormatting>
  <dataValidations count="1">
    <dataValidation type="list" allowBlank="1" showInputMessage="1" showErrorMessage="1" sqref="F14 F42" xr:uid="{EE434567-8D57-4D57-972F-117B2C88426E}">
      <formula1>"Location-based, Market-based"</formula1>
    </dataValidation>
  </dataValidations>
  <pageMargins left="0.7" right="0.7" top="0.75" bottom="0.75" header="0.3" footer="0.3"/>
  <pageSetup scale="16"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75BE-332B-4950-B0E8-AD154AFC5063}">
  <sheetPr>
    <tabColor theme="7" tint="-0.499984740745262"/>
    <pageSetUpPr fitToPage="1"/>
  </sheetPr>
  <dimension ref="A1:AI174"/>
  <sheetViews>
    <sheetView topLeftCell="D42" zoomScaleNormal="100" workbookViewId="0">
      <selection activeCell="E70" sqref="E70"/>
    </sheetView>
  </sheetViews>
  <sheetFormatPr baseColWidth="10" defaultColWidth="11.42578125" defaultRowHeight="15"/>
  <cols>
    <col min="1" max="1" width="11.42578125" style="294"/>
    <col min="2" max="3" width="25.5703125" style="353" customWidth="1"/>
    <col min="4" max="4" width="105.85546875" style="353" customWidth="1"/>
    <col min="5" max="5" width="11.7109375" style="354" customWidth="1"/>
    <col min="6" max="6" width="15.5703125" style="352" customWidth="1"/>
    <col min="7" max="7" width="11.42578125" style="354"/>
    <col min="8" max="8" width="24.7109375" style="353" customWidth="1"/>
    <col min="9" max="27" width="11.42578125" style="294"/>
    <col min="28" max="35" width="11.42578125" style="335"/>
    <col min="36" max="16384" width="11.42578125" style="336"/>
  </cols>
  <sheetData>
    <row r="1" spans="2:35" ht="60" customHeight="1">
      <c r="B1" s="1775" t="s">
        <v>343</v>
      </c>
      <c r="C1" s="1775"/>
      <c r="D1" s="1775"/>
      <c r="E1" s="293"/>
      <c r="F1" s="292"/>
      <c r="G1" s="293"/>
      <c r="H1" s="294"/>
    </row>
    <row r="2" spans="2:35" ht="10.7" customHeight="1" thickBot="1">
      <c r="B2" s="1776"/>
      <c r="C2" s="1776"/>
      <c r="D2" s="1776"/>
      <c r="E2" s="293"/>
      <c r="F2" s="292"/>
      <c r="G2" s="293"/>
      <c r="H2" s="294"/>
    </row>
    <row r="3" spans="2:35" ht="100.7" customHeight="1">
      <c r="B3" s="355" t="s">
        <v>344</v>
      </c>
      <c r="C3" s="1794" t="s">
        <v>345</v>
      </c>
      <c r="D3" s="1795"/>
      <c r="E3" s="293"/>
      <c r="F3" s="1777" t="s">
        <v>263</v>
      </c>
      <c r="G3" s="1777"/>
      <c r="H3" s="1777"/>
    </row>
    <row r="4" spans="2:35" ht="30" customHeight="1">
      <c r="B4" s="356" t="s">
        <v>346</v>
      </c>
      <c r="C4" s="1796" t="s">
        <v>347</v>
      </c>
      <c r="D4" s="1797"/>
      <c r="E4" s="293"/>
      <c r="F4" s="292"/>
      <c r="G4" s="293"/>
      <c r="H4" s="294"/>
    </row>
    <row r="5" spans="2:35" ht="28.7" customHeight="1" thickBot="1">
      <c r="B5" s="356" t="s">
        <v>32</v>
      </c>
      <c r="C5" s="1796" t="s">
        <v>348</v>
      </c>
      <c r="D5" s="1797"/>
      <c r="E5" s="293"/>
      <c r="F5" s="292"/>
      <c r="G5" s="293"/>
      <c r="H5" s="294"/>
    </row>
    <row r="6" spans="2:35" ht="14.45" customHeight="1">
      <c r="B6" s="356" t="s">
        <v>34</v>
      </c>
      <c r="C6" s="1788" t="s">
        <v>349</v>
      </c>
      <c r="D6" s="1789"/>
      <c r="E6" s="293"/>
      <c r="F6" s="1778" t="s">
        <v>350</v>
      </c>
      <c r="G6" s="1784" t="s">
        <v>351</v>
      </c>
      <c r="H6" s="1785"/>
      <c r="AA6" s="335"/>
      <c r="AI6" s="336"/>
    </row>
    <row r="7" spans="2:35" ht="15.75" customHeight="1" thickBot="1">
      <c r="B7" s="357" t="s">
        <v>36</v>
      </c>
      <c r="C7" s="1790" t="s">
        <v>352</v>
      </c>
      <c r="D7" s="1791"/>
      <c r="E7" s="293"/>
      <c r="F7" s="1779"/>
      <c r="G7" s="1786"/>
      <c r="H7" s="1787"/>
      <c r="AA7" s="335"/>
      <c r="AI7" s="336"/>
    </row>
    <row r="8" spans="2:35" ht="15.75" customHeight="1">
      <c r="B8" s="1203"/>
      <c r="C8" s="1203"/>
      <c r="D8" s="359"/>
      <c r="E8" s="293"/>
      <c r="F8" s="1204"/>
      <c r="G8" s="1202"/>
      <c r="H8" s="1202"/>
    </row>
    <row r="9" spans="2:35" ht="15.75" customHeight="1" thickBot="1">
      <c r="B9" s="1201" t="s">
        <v>353</v>
      </c>
      <c r="C9" s="1201"/>
      <c r="D9" s="358"/>
      <c r="E9" s="293"/>
      <c r="F9" s="292"/>
      <c r="G9" s="359"/>
      <c r="H9" s="294"/>
    </row>
    <row r="10" spans="2:35" ht="15.75" customHeight="1">
      <c r="B10" s="360" t="s">
        <v>354</v>
      </c>
      <c r="C10" s="1780" t="s">
        <v>355</v>
      </c>
      <c r="D10" s="1781"/>
      <c r="E10" s="293"/>
      <c r="F10" s="292"/>
      <c r="G10" s="293"/>
      <c r="H10" s="294"/>
    </row>
    <row r="11" spans="2:35" ht="15.75" customHeight="1">
      <c r="B11" s="361" t="s">
        <v>356</v>
      </c>
      <c r="C11" s="1782" t="s">
        <v>355</v>
      </c>
      <c r="D11" s="1783"/>
      <c r="E11" s="293"/>
      <c r="F11" s="362" t="s">
        <v>357</v>
      </c>
      <c r="G11" s="363"/>
      <c r="H11" s="364">
        <v>45372</v>
      </c>
    </row>
    <row r="12" spans="2:35" ht="15.75" customHeight="1">
      <c r="B12" s="361" t="s">
        <v>358</v>
      </c>
      <c r="C12" s="1782" t="s">
        <v>359</v>
      </c>
      <c r="D12" s="1783"/>
      <c r="E12" s="293"/>
      <c r="F12" s="362" t="s">
        <v>360</v>
      </c>
      <c r="G12" s="365"/>
      <c r="H12" s="366">
        <v>2023</v>
      </c>
    </row>
    <row r="13" spans="2:35" ht="15.75" customHeight="1">
      <c r="B13" s="361" t="s">
        <v>361</v>
      </c>
      <c r="C13" s="1782" t="s">
        <v>362</v>
      </c>
      <c r="D13" s="1783"/>
      <c r="E13" s="293"/>
      <c r="F13" s="362" t="s">
        <v>363</v>
      </c>
      <c r="G13" s="365"/>
      <c r="H13" s="366">
        <v>2023</v>
      </c>
    </row>
    <row r="14" spans="2:35" ht="15.75" customHeight="1">
      <c r="B14" s="368" t="s">
        <v>364</v>
      </c>
      <c r="C14" s="1782" t="s">
        <v>365</v>
      </c>
      <c r="D14" s="1783"/>
      <c r="E14" s="293"/>
      <c r="F14" s="362"/>
      <c r="G14" s="367"/>
      <c r="H14" s="294"/>
    </row>
    <row r="15" spans="2:35" ht="15.75" customHeight="1" thickBot="1">
      <c r="B15" s="369" t="s">
        <v>366</v>
      </c>
      <c r="C15" s="1792" t="s">
        <v>355</v>
      </c>
      <c r="D15" s="1793"/>
      <c r="E15" s="293"/>
      <c r="F15" s="292"/>
      <c r="G15" s="293"/>
      <c r="H15" s="294"/>
    </row>
    <row r="16" spans="2:35" ht="15.75" thickBot="1">
      <c r="B16" s="295"/>
      <c r="C16" s="295"/>
      <c r="D16" s="296"/>
      <c r="E16" s="297"/>
      <c r="F16" s="298"/>
      <c r="G16" s="297"/>
      <c r="H16" s="298"/>
    </row>
    <row r="17" spans="2:8" ht="23.45" customHeight="1">
      <c r="B17" s="1708" t="s">
        <v>264</v>
      </c>
      <c r="C17" s="1710" t="s">
        <v>265</v>
      </c>
      <c r="D17" s="1207" t="s">
        <v>367</v>
      </c>
      <c r="E17" s="299"/>
      <c r="F17" s="300"/>
      <c r="G17" s="299"/>
      <c r="H17" s="301"/>
    </row>
    <row r="18" spans="2:8" ht="14.45" customHeight="1" thickBot="1">
      <c r="B18" s="1709"/>
      <c r="C18" s="1711"/>
      <c r="D18" s="1712" t="s">
        <v>368</v>
      </c>
      <c r="E18" s="1713"/>
      <c r="F18" s="1713"/>
      <c r="G18" s="1713"/>
      <c r="H18" s="1714"/>
    </row>
    <row r="19" spans="2:8" ht="28.9" customHeight="1">
      <c r="B19" s="1209" t="s">
        <v>66</v>
      </c>
      <c r="C19" s="1210" t="s">
        <v>62</v>
      </c>
      <c r="D19" s="1211" t="s">
        <v>369</v>
      </c>
      <c r="E19" s="1208" t="s">
        <v>370</v>
      </c>
      <c r="F19" s="1761" t="s">
        <v>371</v>
      </c>
      <c r="G19" s="1762"/>
      <c r="H19" s="1763"/>
    </row>
    <row r="20" spans="2:8" ht="30">
      <c r="B20" s="1764" t="s">
        <v>269</v>
      </c>
      <c r="C20" s="1770" t="s">
        <v>270</v>
      </c>
      <c r="D20" s="304" t="s">
        <v>372</v>
      </c>
      <c r="E20" s="371"/>
      <c r="F20" s="1688"/>
      <c r="G20" s="1689"/>
      <c r="H20" s="1690"/>
    </row>
    <row r="21" spans="2:8">
      <c r="B21" s="1765"/>
      <c r="C21" s="1771"/>
      <c r="D21" s="304" t="s">
        <v>272</v>
      </c>
      <c r="E21" s="371"/>
      <c r="F21" s="1688" t="s">
        <v>373</v>
      </c>
      <c r="G21" s="1689"/>
      <c r="H21" s="1690"/>
    </row>
    <row r="22" spans="2:8">
      <c r="B22" s="1765"/>
      <c r="C22" s="1771"/>
      <c r="D22" s="304" t="s">
        <v>274</v>
      </c>
      <c r="E22" s="371"/>
      <c r="F22" s="1688"/>
      <c r="G22" s="1689"/>
      <c r="H22" s="1690"/>
    </row>
    <row r="23" spans="2:8" ht="15" customHeight="1">
      <c r="B23" s="1765"/>
      <c r="C23" s="1771"/>
      <c r="D23" s="306" t="s">
        <v>275</v>
      </c>
      <c r="E23" s="371"/>
      <c r="F23" s="1688"/>
      <c r="G23" s="1689"/>
      <c r="H23" s="1690"/>
    </row>
    <row r="24" spans="2:8">
      <c r="B24" s="1765"/>
      <c r="C24" s="1771"/>
      <c r="D24" s="304" t="s">
        <v>276</v>
      </c>
      <c r="E24" s="371"/>
      <c r="F24" s="1688" t="s">
        <v>373</v>
      </c>
      <c r="G24" s="1689"/>
      <c r="H24" s="1690"/>
    </row>
    <row r="25" spans="2:8">
      <c r="B25" s="1765"/>
      <c r="C25" s="1771"/>
      <c r="D25" s="304" t="s">
        <v>277</v>
      </c>
      <c r="E25" s="371"/>
      <c r="F25" s="1688"/>
      <c r="G25" s="1689"/>
      <c r="H25" s="1690"/>
    </row>
    <row r="26" spans="2:8">
      <c r="B26" s="1766"/>
      <c r="C26" s="1772"/>
      <c r="D26" s="304" t="s">
        <v>374</v>
      </c>
      <c r="E26" s="371"/>
      <c r="F26" s="1688" t="s">
        <v>279</v>
      </c>
      <c r="G26" s="1689"/>
      <c r="H26" s="1690"/>
    </row>
    <row r="27" spans="2:8">
      <c r="B27" s="372"/>
      <c r="C27" s="295"/>
      <c r="D27" s="296"/>
      <c r="E27" s="373"/>
      <c r="F27" s="308"/>
      <c r="G27" s="308"/>
      <c r="H27" s="309"/>
    </row>
    <row r="28" spans="2:8" ht="28.9" customHeight="1">
      <c r="B28" s="1238" t="s">
        <v>99</v>
      </c>
      <c r="C28" s="1239" t="s">
        <v>89</v>
      </c>
      <c r="D28" s="1240" t="s">
        <v>369</v>
      </c>
      <c r="E28" s="370" t="s">
        <v>370</v>
      </c>
      <c r="F28" s="1702" t="s">
        <v>371</v>
      </c>
      <c r="G28" s="1695"/>
      <c r="H28" s="1696"/>
    </row>
    <row r="29" spans="2:8" ht="32.1" customHeight="1">
      <c r="B29" s="1767" t="s">
        <v>280</v>
      </c>
      <c r="C29" s="1705" t="s">
        <v>90</v>
      </c>
      <c r="D29" s="313" t="s">
        <v>375</v>
      </c>
      <c r="E29" s="371"/>
      <c r="F29" s="1688" t="str">
        <f>IF('GHG Emissons Breakdown'!$F$14="Market-based","Market-based",IF('GHG Emissons Breakdown'!$F$14="Location-based","Location-based","Complete Cell E27 in the GHG Emissions Breakdown tab"))</f>
        <v>Location-based</v>
      </c>
      <c r="G29" s="1689"/>
      <c r="H29" s="1690"/>
    </row>
    <row r="30" spans="2:8" ht="15.75" customHeight="1">
      <c r="B30" s="1768"/>
      <c r="C30" s="1706"/>
      <c r="D30" s="374" t="s">
        <v>376</v>
      </c>
      <c r="E30" s="375"/>
      <c r="F30" s="317">
        <f>E80</f>
        <v>0</v>
      </c>
      <c r="G30" s="1773" t="s">
        <v>377</v>
      </c>
      <c r="H30" s="1774"/>
    </row>
    <row r="31" spans="2:8" ht="45">
      <c r="B31" s="1769"/>
      <c r="C31" s="1707"/>
      <c r="D31" s="374" t="s">
        <v>378</v>
      </c>
      <c r="E31" s="371"/>
      <c r="F31" s="1677" t="s">
        <v>379</v>
      </c>
      <c r="G31" s="1677"/>
      <c r="H31" s="1678"/>
    </row>
    <row r="32" spans="2:8">
      <c r="B32" s="372"/>
      <c r="C32" s="295"/>
      <c r="D32" s="296"/>
      <c r="E32" s="373"/>
      <c r="F32" s="308"/>
      <c r="G32" s="308"/>
      <c r="H32" s="309"/>
    </row>
    <row r="33" spans="2:8" ht="28.9" customHeight="1">
      <c r="B33" s="1212" t="s">
        <v>284</v>
      </c>
      <c r="C33" s="1213" t="s">
        <v>92</v>
      </c>
      <c r="D33" s="1214" t="s">
        <v>369</v>
      </c>
      <c r="E33" s="370" t="s">
        <v>370</v>
      </c>
      <c r="F33" s="1702" t="s">
        <v>371</v>
      </c>
      <c r="G33" s="1695"/>
      <c r="H33" s="1696"/>
    </row>
    <row r="34" spans="2:8">
      <c r="B34" s="1697" t="s">
        <v>285</v>
      </c>
      <c r="C34" s="1631" t="s">
        <v>109</v>
      </c>
      <c r="D34" s="316" t="s">
        <v>380</v>
      </c>
      <c r="E34" s="371"/>
      <c r="F34" s="1688"/>
      <c r="G34" s="1689"/>
      <c r="H34" s="1690"/>
    </row>
    <row r="35" spans="2:8">
      <c r="B35" s="1697"/>
      <c r="C35" s="1631"/>
      <c r="D35" s="316" t="s">
        <v>287</v>
      </c>
      <c r="E35" s="371"/>
      <c r="F35" s="1688"/>
      <c r="G35" s="1689"/>
      <c r="H35" s="1690"/>
    </row>
    <row r="36" spans="2:8">
      <c r="B36" s="1697"/>
      <c r="C36" s="1631"/>
      <c r="D36" s="316" t="s">
        <v>288</v>
      </c>
      <c r="E36" s="371"/>
      <c r="F36" s="1688"/>
      <c r="G36" s="1689"/>
      <c r="H36" s="1690"/>
    </row>
    <row r="37" spans="2:8">
      <c r="B37" s="1697"/>
      <c r="C37" s="1631"/>
      <c r="D37" s="316" t="s">
        <v>289</v>
      </c>
      <c r="E37" s="371"/>
      <c r="F37" s="1688"/>
      <c r="G37" s="1689"/>
      <c r="H37" s="1690"/>
    </row>
    <row r="38" spans="2:8">
      <c r="B38" s="1697"/>
      <c r="C38" s="1631"/>
      <c r="D38" s="316" t="s">
        <v>290</v>
      </c>
      <c r="E38" s="371"/>
      <c r="F38" s="1688"/>
      <c r="G38" s="1689"/>
      <c r="H38" s="1690"/>
    </row>
    <row r="39" spans="2:8">
      <c r="B39" s="1697"/>
      <c r="C39" s="1631"/>
      <c r="D39" s="316" t="s">
        <v>291</v>
      </c>
      <c r="E39" s="371"/>
      <c r="F39" s="1688"/>
      <c r="G39" s="1689"/>
      <c r="H39" s="1690"/>
    </row>
    <row r="40" spans="2:8">
      <c r="B40" s="1697"/>
      <c r="C40" s="1631"/>
      <c r="D40" s="316" t="s">
        <v>292</v>
      </c>
      <c r="E40" s="371"/>
      <c r="F40" s="1688"/>
      <c r="G40" s="1689"/>
      <c r="H40" s="1690"/>
    </row>
    <row r="41" spans="2:8">
      <c r="B41" s="1697"/>
      <c r="C41" s="1631"/>
      <c r="D41" s="316" t="s">
        <v>293</v>
      </c>
      <c r="E41" s="371"/>
      <c r="F41" s="1688"/>
      <c r="G41" s="1689"/>
      <c r="H41" s="1690"/>
    </row>
    <row r="42" spans="2:8">
      <c r="B42" s="1691" t="s">
        <v>105</v>
      </c>
      <c r="C42" s="1631" t="s">
        <v>294</v>
      </c>
      <c r="D42" s="316" t="s">
        <v>295</v>
      </c>
      <c r="E42" s="371"/>
      <c r="F42" s="1688"/>
      <c r="G42" s="1689"/>
      <c r="H42" s="1690"/>
    </row>
    <row r="43" spans="2:8">
      <c r="B43" s="1692"/>
      <c r="C43" s="1631"/>
      <c r="D43" s="316" t="s">
        <v>296</v>
      </c>
      <c r="E43" s="371"/>
      <c r="F43" s="1688"/>
      <c r="G43" s="1689"/>
      <c r="H43" s="1690"/>
    </row>
    <row r="44" spans="2:8">
      <c r="B44" s="1692"/>
      <c r="C44" s="1631"/>
      <c r="D44" s="316" t="s">
        <v>297</v>
      </c>
      <c r="E44" s="371"/>
      <c r="F44" s="1688"/>
      <c r="G44" s="1689"/>
      <c r="H44" s="1690"/>
    </row>
    <row r="45" spans="2:8">
      <c r="B45" s="1692"/>
      <c r="C45" s="1631"/>
      <c r="D45" s="316" t="s">
        <v>298</v>
      </c>
      <c r="E45" s="371"/>
      <c r="F45" s="1688"/>
      <c r="G45" s="1689"/>
      <c r="H45" s="1690"/>
    </row>
    <row r="46" spans="2:8">
      <c r="B46" s="1693"/>
      <c r="C46" s="1631"/>
      <c r="D46" s="316" t="s">
        <v>381</v>
      </c>
      <c r="E46" s="371"/>
      <c r="F46" s="1688"/>
      <c r="G46" s="1689"/>
      <c r="H46" s="1690"/>
    </row>
    <row r="47" spans="2:8">
      <c r="B47" s="1691" t="s">
        <v>300</v>
      </c>
      <c r="C47" s="1631" t="s">
        <v>301</v>
      </c>
      <c r="D47" s="316" t="s">
        <v>382</v>
      </c>
      <c r="E47" s="371"/>
      <c r="F47" s="1688"/>
      <c r="G47" s="1689"/>
      <c r="H47" s="1690"/>
    </row>
    <row r="48" spans="2:8">
      <c r="B48" s="1692"/>
      <c r="C48" s="1631"/>
      <c r="D48" s="316" t="s">
        <v>383</v>
      </c>
      <c r="E48" s="371"/>
      <c r="F48" s="1688"/>
      <c r="G48" s="1689"/>
      <c r="H48" s="1690"/>
    </row>
    <row r="49" spans="2:8">
      <c r="B49" s="1692"/>
      <c r="C49" s="1631"/>
      <c r="D49" s="316" t="s">
        <v>384</v>
      </c>
      <c r="E49" s="371"/>
      <c r="F49" s="1688"/>
      <c r="G49" s="1689"/>
      <c r="H49" s="1690"/>
    </row>
    <row r="50" spans="2:8">
      <c r="B50" s="1692"/>
      <c r="C50" s="1631"/>
      <c r="D50" s="316" t="s">
        <v>385</v>
      </c>
      <c r="E50" s="371"/>
      <c r="F50" s="1688"/>
      <c r="G50" s="1689"/>
      <c r="H50" s="1690"/>
    </row>
    <row r="51" spans="2:8">
      <c r="B51" s="1692"/>
      <c r="C51" s="1631"/>
      <c r="D51" s="316" t="s">
        <v>306</v>
      </c>
      <c r="E51" s="371"/>
      <c r="F51" s="1688"/>
      <c r="G51" s="1689"/>
      <c r="H51" s="1690"/>
    </row>
    <row r="52" spans="2:8">
      <c r="B52" s="1693"/>
      <c r="C52" s="1631"/>
      <c r="D52" s="316" t="s">
        <v>386</v>
      </c>
      <c r="E52" s="371"/>
      <c r="F52" s="1688"/>
      <c r="G52" s="1689"/>
      <c r="H52" s="1690"/>
    </row>
    <row r="53" spans="2:8">
      <c r="B53" s="320" t="s">
        <v>105</v>
      </c>
      <c r="C53" s="1631" t="s">
        <v>308</v>
      </c>
      <c r="D53" s="316" t="s">
        <v>387</v>
      </c>
      <c r="E53" s="371"/>
      <c r="F53" s="1688"/>
      <c r="G53" s="1689"/>
      <c r="H53" s="1690"/>
    </row>
    <row r="54" spans="2:8">
      <c r="B54" s="1217" t="s">
        <v>310</v>
      </c>
      <c r="C54" s="1631"/>
      <c r="D54" s="316" t="s">
        <v>311</v>
      </c>
      <c r="E54" s="371"/>
      <c r="F54" s="1688"/>
      <c r="G54" s="1689"/>
      <c r="H54" s="1690"/>
    </row>
    <row r="55" spans="2:8">
      <c r="B55" s="1691" t="s">
        <v>312</v>
      </c>
      <c r="C55" s="1631" t="s">
        <v>313</v>
      </c>
      <c r="D55" s="316" t="s">
        <v>314</v>
      </c>
      <c r="E55" s="371"/>
      <c r="F55" s="1688"/>
      <c r="G55" s="1689"/>
      <c r="H55" s="1690"/>
    </row>
    <row r="56" spans="2:8">
      <c r="B56" s="1693"/>
      <c r="C56" s="1631"/>
      <c r="D56" s="316" t="s">
        <v>315</v>
      </c>
      <c r="E56" s="371"/>
      <c r="F56" s="376"/>
      <c r="G56" s="377"/>
      <c r="H56" s="378"/>
    </row>
    <row r="57" spans="2:8">
      <c r="B57" s="1217" t="s">
        <v>310</v>
      </c>
      <c r="C57" s="1215" t="s">
        <v>316</v>
      </c>
      <c r="D57" s="316" t="s">
        <v>317</v>
      </c>
      <c r="E57" s="371"/>
      <c r="F57" s="376"/>
      <c r="G57" s="377"/>
      <c r="H57" s="378"/>
    </row>
    <row r="58" spans="2:8">
      <c r="B58" s="1217" t="s">
        <v>310</v>
      </c>
      <c r="C58" s="1631" t="s">
        <v>318</v>
      </c>
      <c r="D58" s="316" t="s">
        <v>319</v>
      </c>
      <c r="E58" s="371"/>
      <c r="F58" s="1688"/>
      <c r="G58" s="1689"/>
      <c r="H58" s="1690"/>
    </row>
    <row r="59" spans="2:8" ht="29.1" customHeight="1">
      <c r="B59" s="1217" t="s">
        <v>105</v>
      </c>
      <c r="C59" s="1631"/>
      <c r="D59" s="316" t="s">
        <v>388</v>
      </c>
      <c r="E59" s="371"/>
      <c r="F59" s="1688" t="str">
        <f>IF('GHG Emissons Breakdown'!$F$42="Market-based","Market-based",IF('GHG Emissons Breakdown'!$F$42="Location-based","Location-based","Complete Cell E55 in the GHG Emissions Breakdown tab"))</f>
        <v>Location-based</v>
      </c>
      <c r="G59" s="1689"/>
      <c r="H59" s="1690"/>
    </row>
    <row r="60" spans="2:8">
      <c r="B60" s="1675" t="s">
        <v>322</v>
      </c>
      <c r="C60" s="1631" t="s">
        <v>323</v>
      </c>
      <c r="D60" s="316" t="s">
        <v>324</v>
      </c>
      <c r="E60" s="371"/>
      <c r="F60" s="1688"/>
      <c r="G60" s="1689"/>
      <c r="H60" s="1690"/>
    </row>
    <row r="61" spans="2:8">
      <c r="B61" s="1675"/>
      <c r="C61" s="1631"/>
      <c r="D61" s="316" t="s">
        <v>325</v>
      </c>
      <c r="E61" s="371"/>
      <c r="F61" s="1688"/>
      <c r="G61" s="1689"/>
      <c r="H61" s="1690"/>
    </row>
    <row r="62" spans="2:8" ht="16.350000000000001" customHeight="1" thickBot="1">
      <c r="B62" s="322" t="s">
        <v>326</v>
      </c>
      <c r="C62" s="1216" t="s">
        <v>193</v>
      </c>
      <c r="D62" s="323" t="s">
        <v>374</v>
      </c>
      <c r="E62" s="379"/>
      <c r="F62" s="1755" t="s">
        <v>279</v>
      </c>
      <c r="G62" s="1756"/>
      <c r="H62" s="1757"/>
    </row>
    <row r="63" spans="2:8" ht="15.75" customHeight="1" thickBot="1">
      <c r="B63" s="325"/>
      <c r="C63" s="325"/>
      <c r="D63" s="325"/>
      <c r="E63" s="293"/>
      <c r="F63" s="292"/>
      <c r="G63" s="293"/>
      <c r="H63" s="294"/>
    </row>
    <row r="64" spans="2:8" ht="45.6" customHeight="1">
      <c r="B64" s="1682" t="s">
        <v>389</v>
      </c>
      <c r="C64" s="1683"/>
      <c r="D64" s="1684"/>
      <c r="E64" s="326" t="s">
        <v>329</v>
      </c>
      <c r="F64" s="380" t="s">
        <v>390</v>
      </c>
      <c r="G64" s="326" t="s">
        <v>391</v>
      </c>
      <c r="H64" s="381" t="s">
        <v>392</v>
      </c>
    </row>
    <row r="65" spans="2:8" ht="21" customHeight="1">
      <c r="B65" s="1666" t="s">
        <v>331</v>
      </c>
      <c r="C65" s="1667"/>
      <c r="D65" s="1668"/>
      <c r="E65" s="382">
        <f>'GHG Emissons Breakdown'!E48</f>
        <v>0</v>
      </c>
      <c r="F65" s="383" t="e">
        <f>+E65/$E$68</f>
        <v>#DIV/0!</v>
      </c>
      <c r="G65" s="305">
        <f>E65</f>
        <v>0</v>
      </c>
      <c r="H65" s="384" t="e">
        <f>+G65/$G$68</f>
        <v>#DIV/0!</v>
      </c>
    </row>
    <row r="66" spans="2:8" ht="21" customHeight="1">
      <c r="B66" s="1669" t="s">
        <v>332</v>
      </c>
      <c r="C66" s="1670"/>
      <c r="D66" s="1671"/>
      <c r="E66" s="382">
        <f>'GHG Emissons Breakdown'!E49</f>
        <v>0</v>
      </c>
      <c r="F66" s="383" t="e">
        <f>+E66/$E$68</f>
        <v>#DIV/0!</v>
      </c>
      <c r="G66" s="305">
        <f t="shared" ref="G66:G67" si="0">E66</f>
        <v>0</v>
      </c>
      <c r="H66" s="384" t="e">
        <f>+G66/$G$68</f>
        <v>#DIV/0!</v>
      </c>
    </row>
    <row r="67" spans="2:8" ht="21" customHeight="1">
      <c r="B67" s="1672" t="s">
        <v>333</v>
      </c>
      <c r="C67" s="1673"/>
      <c r="D67" s="1674"/>
      <c r="E67" s="382">
        <f>'GHG Emissons Breakdown'!E50</f>
        <v>0</v>
      </c>
      <c r="F67" s="383" t="e">
        <f>+E67/$E$68</f>
        <v>#DIV/0!</v>
      </c>
      <c r="G67" s="305">
        <f t="shared" si="0"/>
        <v>0</v>
      </c>
      <c r="H67" s="384" t="e">
        <f>+G67/$G$68</f>
        <v>#DIV/0!</v>
      </c>
    </row>
    <row r="68" spans="2:8" ht="21" customHeight="1">
      <c r="B68" s="1653" t="s">
        <v>334</v>
      </c>
      <c r="C68" s="1654"/>
      <c r="D68" s="1655"/>
      <c r="E68" s="382">
        <f>'GHG Emissons Breakdown'!E51</f>
        <v>0</v>
      </c>
      <c r="F68" s="385"/>
      <c r="G68" s="386">
        <f>+G65+G66+G67</f>
        <v>0</v>
      </c>
      <c r="H68" s="387"/>
    </row>
    <row r="69" spans="2:8" ht="12" customHeight="1">
      <c r="B69" s="1758"/>
      <c r="C69" s="1759"/>
      <c r="D69" s="1759"/>
      <c r="E69" s="1759"/>
      <c r="F69" s="1759"/>
      <c r="G69" s="1759"/>
      <c r="H69" s="1760"/>
    </row>
    <row r="70" spans="2:8" ht="21" customHeight="1">
      <c r="B70" s="1734" t="s">
        <v>335</v>
      </c>
      <c r="C70" s="1735"/>
      <c r="D70" s="1736"/>
      <c r="E70" s="305"/>
      <c r="F70" s="388"/>
      <c r="G70" s="305">
        <f>E70</f>
        <v>0</v>
      </c>
      <c r="H70" s="389"/>
    </row>
    <row r="71" spans="2:8" ht="21" customHeight="1">
      <c r="B71" s="1734" t="s">
        <v>336</v>
      </c>
      <c r="C71" s="1735"/>
      <c r="D71" s="1736"/>
      <c r="E71" s="390" t="e">
        <f>+E68*1000/E70</f>
        <v>#DIV/0!</v>
      </c>
      <c r="F71" s="388"/>
      <c r="G71" s="390" t="e">
        <f>+G68*1000/G70</f>
        <v>#DIV/0!</v>
      </c>
      <c r="H71" s="389"/>
    </row>
    <row r="72" spans="2:8" ht="12" customHeight="1">
      <c r="B72" s="391"/>
      <c r="C72" s="392"/>
      <c r="D72" s="392"/>
      <c r="E72" s="393"/>
      <c r="F72" s="334"/>
      <c r="G72" s="393"/>
      <c r="H72" s="394"/>
    </row>
    <row r="73" spans="2:8" ht="21" customHeight="1">
      <c r="B73" s="1728" t="s">
        <v>393</v>
      </c>
      <c r="C73" s="1729"/>
      <c r="D73" s="1730"/>
      <c r="E73" s="395"/>
      <c r="F73" s="396"/>
      <c r="G73" s="397"/>
      <c r="H73" s="398"/>
    </row>
    <row r="74" spans="2:8" ht="30" customHeight="1">
      <c r="B74" s="1731" t="s">
        <v>338</v>
      </c>
      <c r="C74" s="1732"/>
      <c r="D74" s="1733"/>
      <c r="E74" s="305"/>
      <c r="F74" s="399"/>
      <c r="G74" s="305"/>
      <c r="H74" s="400"/>
    </row>
    <row r="75" spans="2:8" ht="12.95" customHeight="1">
      <c r="B75" s="372"/>
      <c r="C75" s="295"/>
      <c r="D75" s="401"/>
      <c r="E75" s="402"/>
      <c r="F75" s="403"/>
      <c r="G75" s="402"/>
      <c r="H75" s="404"/>
    </row>
    <row r="76" spans="2:8" ht="21" customHeight="1">
      <c r="B76" s="1734" t="s">
        <v>394</v>
      </c>
      <c r="C76" s="1735"/>
      <c r="D76" s="1736"/>
      <c r="E76" s="390" t="e">
        <f>+(E68-E74)*1000/E70</f>
        <v>#DIV/0!</v>
      </c>
      <c r="F76" s="388"/>
      <c r="G76" s="390" t="e">
        <f>+(G68-G74)*1000/G70</f>
        <v>#DIV/0!</v>
      </c>
      <c r="H76" s="389"/>
    </row>
    <row r="77" spans="2:8" ht="21" customHeight="1">
      <c r="B77" s="1734" t="s">
        <v>395</v>
      </c>
      <c r="C77" s="1735"/>
      <c r="D77" s="1736"/>
      <c r="E77" s="399" t="e">
        <f>(E76-G76)/G76</f>
        <v>#DIV/0!</v>
      </c>
      <c r="F77" s="403"/>
      <c r="G77" s="402"/>
      <c r="H77" s="404"/>
    </row>
    <row r="78" spans="2:8" ht="21" customHeight="1">
      <c r="B78" s="1734" t="s">
        <v>396</v>
      </c>
      <c r="C78" s="1735"/>
      <c r="D78" s="1736"/>
      <c r="E78" s="405">
        <f>((E68-E74)-(G68-G74))</f>
        <v>0</v>
      </c>
      <c r="F78" s="403"/>
      <c r="G78" s="402"/>
      <c r="H78" s="404"/>
    </row>
    <row r="79" spans="2:8" ht="12" customHeight="1">
      <c r="B79" s="406"/>
      <c r="C79" s="407"/>
      <c r="D79" s="407"/>
      <c r="E79" s="408"/>
      <c r="F79" s="298"/>
      <c r="G79" s="297"/>
      <c r="H79" s="409"/>
    </row>
    <row r="80" spans="2:8" ht="21" customHeight="1">
      <c r="B80" s="1737" t="s">
        <v>397</v>
      </c>
      <c r="C80" s="1738"/>
      <c r="D80" s="1739"/>
      <c r="E80" s="1218">
        <f>Electricity!B8</f>
        <v>0</v>
      </c>
      <c r="F80" s="1219"/>
      <c r="G80" s="297"/>
      <c r="H80" s="409"/>
    </row>
    <row r="81" spans="1:35" ht="103.9" customHeight="1">
      <c r="B81" s="1752" t="s">
        <v>398</v>
      </c>
      <c r="C81" s="1753"/>
      <c r="D81" s="1754"/>
      <c r="E81" s="1220" t="s">
        <v>399</v>
      </c>
      <c r="F81" s="1221" t="s">
        <v>400</v>
      </c>
      <c r="G81" s="297"/>
      <c r="H81" s="409"/>
    </row>
    <row r="82" spans="1:35" ht="12" customHeight="1">
      <c r="B82" s="406"/>
      <c r="C82" s="407"/>
      <c r="D82" s="407"/>
      <c r="E82" s="408"/>
      <c r="F82" s="298"/>
      <c r="G82" s="297"/>
      <c r="H82" s="409"/>
    </row>
    <row r="83" spans="1:35" ht="20.100000000000001" customHeight="1">
      <c r="B83" s="1740" t="s">
        <v>401</v>
      </c>
      <c r="C83" s="1741"/>
      <c r="D83" s="1741"/>
      <c r="E83" s="1741"/>
      <c r="F83" s="1741"/>
      <c r="G83" s="1741"/>
      <c r="H83" s="1742"/>
    </row>
    <row r="84" spans="1:35" ht="50.1" customHeight="1">
      <c r="B84" s="1743"/>
      <c r="C84" s="1744"/>
      <c r="D84" s="1744"/>
      <c r="E84" s="1744"/>
      <c r="F84" s="1744"/>
      <c r="G84" s="1744"/>
      <c r="H84" s="1745"/>
    </row>
    <row r="85" spans="1:35" ht="12.6" customHeight="1">
      <c r="B85" s="410"/>
      <c r="C85" s="411"/>
      <c r="D85" s="411"/>
      <c r="E85" s="297"/>
      <c r="F85" s="298"/>
      <c r="G85" s="297"/>
      <c r="H85" s="409"/>
    </row>
    <row r="86" spans="1:35" ht="19.149999999999999" customHeight="1">
      <c r="B86" s="1746" t="s">
        <v>402</v>
      </c>
      <c r="C86" s="1747"/>
      <c r="D86" s="1748"/>
      <c r="E86" s="412">
        <f>Summary!F119</f>
        <v>0</v>
      </c>
      <c r="F86" s="413"/>
      <c r="G86" s="305"/>
      <c r="H86" s="409"/>
    </row>
    <row r="87" spans="1:35" ht="12.6" customHeight="1">
      <c r="B87" s="410"/>
      <c r="C87" s="411"/>
      <c r="D87" s="411"/>
      <c r="E87" s="297" t="s">
        <v>403</v>
      </c>
      <c r="F87" s="298"/>
      <c r="G87" s="297"/>
      <c r="H87" s="409"/>
    </row>
    <row r="88" spans="1:35" ht="18.75">
      <c r="B88" s="1746" t="s">
        <v>404</v>
      </c>
      <c r="C88" s="1747"/>
      <c r="D88" s="1748"/>
      <c r="E88" s="395"/>
      <c r="F88" s="396"/>
      <c r="G88" s="397"/>
      <c r="H88" s="398"/>
    </row>
    <row r="89" spans="1:35">
      <c r="B89" s="1749" t="s">
        <v>194</v>
      </c>
      <c r="C89" s="1205"/>
      <c r="D89" s="414" t="s">
        <v>405</v>
      </c>
      <c r="E89" s="415">
        <f>Winemaking!B4</f>
        <v>0</v>
      </c>
      <c r="F89" s="416" t="str">
        <f>IFERROR(E89/#REF!, " ")</f>
        <v xml:space="preserve"> </v>
      </c>
      <c r="G89" s="415"/>
      <c r="H89" s="417" t="str">
        <f>IFERROR(G89/#REF!, " ")</f>
        <v xml:space="preserve"> </v>
      </c>
    </row>
    <row r="90" spans="1:35">
      <c r="B90" s="1750"/>
      <c r="C90" s="295"/>
      <c r="D90" s="414" t="s">
        <v>406</v>
      </c>
      <c r="E90" s="415">
        <f>'Vineyard - Biomass Photosynth'!D5</f>
        <v>0</v>
      </c>
      <c r="F90" s="416" t="str">
        <f>IFERROR(E90/#REF!, " ")</f>
        <v xml:space="preserve"> </v>
      </c>
      <c r="G90" s="415"/>
      <c r="H90" s="417" t="str">
        <f>IFERROR(G90/#REF!, " ")</f>
        <v xml:space="preserve"> </v>
      </c>
    </row>
    <row r="91" spans="1:35">
      <c r="B91" s="1750"/>
      <c r="C91" s="295"/>
      <c r="D91" s="414" t="s">
        <v>407</v>
      </c>
      <c r="E91" s="418">
        <f>'Vineyard - Row Cropping'!A5</f>
        <v>0</v>
      </c>
      <c r="F91" s="419"/>
      <c r="G91" s="418"/>
      <c r="H91" s="420"/>
    </row>
    <row r="92" spans="1:35" ht="15.75" thickBot="1">
      <c r="B92" s="1751"/>
      <c r="C92" s="1206"/>
      <c r="D92" s="421" t="s">
        <v>408</v>
      </c>
      <c r="E92" s="422">
        <f>'Compost Application'!B5</f>
        <v>0</v>
      </c>
      <c r="F92" s="423" t="str">
        <f>IFERROR(E92/#REF!, " ")</f>
        <v xml:space="preserve"> </v>
      </c>
      <c r="G92" s="422"/>
      <c r="H92" s="424" t="str">
        <f>IFERROR(G92/#REF!, " ")</f>
        <v xml:space="preserve"> </v>
      </c>
    </row>
    <row r="93" spans="1:35" ht="15.75" thickBot="1">
      <c r="B93" s="1727"/>
      <c r="C93" s="1727"/>
      <c r="D93" s="1727"/>
      <c r="E93" s="293"/>
      <c r="F93" s="292"/>
      <c r="G93" s="293"/>
      <c r="H93" s="292"/>
    </row>
    <row r="94" spans="1:35" ht="16.5" customHeight="1" thickBot="1">
      <c r="B94" s="1222" t="s">
        <v>350</v>
      </c>
      <c r="C94" s="1718" t="s">
        <v>409</v>
      </c>
      <c r="D94" s="1718"/>
      <c r="E94" s="1718"/>
      <c r="F94" s="1718"/>
      <c r="G94" s="1718"/>
      <c r="H94" s="1719"/>
    </row>
    <row r="95" spans="1:35" s="350" customFormat="1" ht="51" customHeight="1">
      <c r="A95" s="348"/>
      <c r="B95" s="1715" t="s">
        <v>410</v>
      </c>
      <c r="C95" s="1716"/>
      <c r="D95" s="1717"/>
      <c r="E95" s="1720" t="s">
        <v>411</v>
      </c>
      <c r="F95" s="1618"/>
      <c r="G95" s="1618"/>
      <c r="H95" s="1619"/>
      <c r="I95" s="348"/>
      <c r="J95" s="348"/>
      <c r="K95" s="348"/>
      <c r="L95" s="348"/>
      <c r="M95" s="348"/>
      <c r="N95" s="348"/>
      <c r="O95" s="348"/>
      <c r="P95" s="348"/>
      <c r="Q95" s="348"/>
      <c r="R95" s="348"/>
      <c r="S95" s="348"/>
      <c r="T95" s="348"/>
      <c r="U95" s="348"/>
      <c r="V95" s="348"/>
      <c r="W95" s="348"/>
      <c r="X95" s="348"/>
      <c r="Y95" s="348"/>
      <c r="Z95" s="348"/>
      <c r="AA95" s="348"/>
      <c r="AB95" s="349"/>
      <c r="AC95" s="349"/>
      <c r="AD95" s="349"/>
      <c r="AE95" s="349"/>
      <c r="AF95" s="349"/>
      <c r="AG95" s="349"/>
      <c r="AH95" s="349"/>
      <c r="AI95" s="349"/>
    </row>
    <row r="96" spans="1:35" s="335" customFormat="1" ht="15" customHeight="1">
      <c r="A96" s="294"/>
      <c r="B96" s="1723" t="s">
        <v>341</v>
      </c>
      <c r="C96" s="1724"/>
      <c r="D96" s="1724"/>
      <c r="E96" s="1721"/>
      <c r="F96" s="1621"/>
      <c r="G96" s="1621"/>
      <c r="H96" s="1622"/>
      <c r="I96" s="294"/>
      <c r="J96" s="294"/>
      <c r="K96" s="294"/>
      <c r="L96" s="294"/>
      <c r="M96" s="294"/>
      <c r="N96" s="294"/>
      <c r="O96" s="294"/>
      <c r="P96" s="294"/>
      <c r="Q96" s="294"/>
      <c r="R96" s="294"/>
      <c r="S96" s="294"/>
      <c r="T96" s="294"/>
      <c r="U96" s="294"/>
      <c r="V96" s="294"/>
      <c r="W96" s="294"/>
      <c r="X96" s="294"/>
      <c r="Y96" s="294"/>
      <c r="Z96" s="294"/>
      <c r="AA96" s="294"/>
    </row>
    <row r="97" spans="1:27" s="335" customFormat="1" ht="15" customHeight="1">
      <c r="A97" s="294"/>
      <c r="B97" s="1725" t="s">
        <v>412</v>
      </c>
      <c r="C97" s="1726"/>
      <c r="D97" s="1726"/>
      <c r="E97" s="1721"/>
      <c r="F97" s="1621"/>
      <c r="G97" s="1621"/>
      <c r="H97" s="1622"/>
      <c r="I97" s="294"/>
      <c r="J97" s="294"/>
      <c r="K97" s="294"/>
      <c r="L97" s="294"/>
      <c r="M97" s="294"/>
      <c r="N97" s="294"/>
      <c r="O97" s="294"/>
      <c r="P97" s="294"/>
      <c r="Q97" s="294"/>
      <c r="R97" s="294"/>
      <c r="S97" s="294"/>
      <c r="T97" s="294"/>
      <c r="U97" s="294"/>
      <c r="V97" s="294"/>
      <c r="W97" s="294"/>
      <c r="X97" s="294"/>
      <c r="Y97" s="294"/>
      <c r="Z97" s="294"/>
      <c r="AA97" s="294"/>
    </row>
    <row r="98" spans="1:27" ht="215.25" customHeight="1">
      <c r="B98" s="1725"/>
      <c r="C98" s="1726"/>
      <c r="D98" s="1726"/>
      <c r="E98" s="1721"/>
      <c r="F98" s="1621"/>
      <c r="G98" s="1621"/>
      <c r="H98" s="1622"/>
    </row>
    <row r="99" spans="1:27" s="335" customFormat="1" ht="29.65" customHeight="1" thickBot="1">
      <c r="A99" s="294"/>
      <c r="B99" s="1650"/>
      <c r="C99" s="1651"/>
      <c r="D99" s="1651"/>
      <c r="E99" s="1722"/>
      <c r="F99" s="1624"/>
      <c r="G99" s="1624"/>
      <c r="H99" s="1625"/>
      <c r="I99" s="294"/>
      <c r="J99" s="294"/>
      <c r="K99" s="294"/>
      <c r="L99" s="294"/>
      <c r="M99" s="294"/>
      <c r="N99" s="294"/>
      <c r="O99" s="294"/>
      <c r="P99" s="294"/>
      <c r="Q99" s="294"/>
      <c r="R99" s="294"/>
      <c r="S99" s="294"/>
      <c r="T99" s="294"/>
      <c r="U99" s="294"/>
      <c r="V99" s="294"/>
      <c r="W99" s="294"/>
      <c r="X99" s="294"/>
      <c r="Y99" s="294"/>
      <c r="Z99" s="294"/>
      <c r="AA99" s="294"/>
    </row>
    <row r="100" spans="1:27" s="335" customFormat="1" ht="15.6" customHeight="1" thickBot="1">
      <c r="A100" s="294"/>
      <c r="B100" s="1223"/>
      <c r="C100" s="1224"/>
      <c r="D100" s="1225"/>
      <c r="E100" s="351"/>
      <c r="F100" s="352"/>
      <c r="G100" s="351"/>
      <c r="H100" s="294"/>
      <c r="I100" s="294"/>
      <c r="J100" s="294"/>
      <c r="K100" s="294"/>
      <c r="L100" s="294"/>
      <c r="M100" s="294"/>
      <c r="N100" s="294"/>
      <c r="O100" s="294"/>
      <c r="P100" s="294"/>
      <c r="Q100" s="294"/>
      <c r="R100" s="294"/>
      <c r="S100" s="294"/>
      <c r="T100" s="294"/>
      <c r="U100" s="294"/>
      <c r="V100" s="294"/>
      <c r="W100" s="294"/>
      <c r="X100" s="294"/>
      <c r="Y100" s="294"/>
      <c r="Z100" s="294"/>
      <c r="AA100" s="294"/>
    </row>
    <row r="101" spans="1:27" s="335" customFormat="1" ht="15.75" thickBot="1">
      <c r="A101" s="294"/>
      <c r="B101" s="1226"/>
      <c r="C101" s="1227"/>
      <c r="D101" s="1228"/>
      <c r="E101" s="351"/>
      <c r="F101" s="352"/>
      <c r="G101" s="351"/>
      <c r="H101" s="294"/>
      <c r="I101" s="294"/>
      <c r="J101" s="294"/>
      <c r="K101" s="294"/>
      <c r="L101" s="294"/>
      <c r="M101" s="294"/>
      <c r="N101" s="294"/>
      <c r="O101" s="294"/>
      <c r="P101" s="294"/>
      <c r="Q101" s="294"/>
      <c r="R101" s="294"/>
      <c r="S101" s="294"/>
      <c r="T101" s="294"/>
      <c r="U101" s="294"/>
      <c r="V101" s="294"/>
      <c r="W101" s="294"/>
      <c r="X101" s="294"/>
      <c r="Y101" s="294"/>
      <c r="Z101" s="294"/>
      <c r="AA101" s="294"/>
    </row>
    <row r="102" spans="1:27" s="335" customFormat="1">
      <c r="A102" s="294"/>
      <c r="B102" s="1229"/>
      <c r="C102" s="1230"/>
      <c r="D102" s="1231"/>
      <c r="E102" s="351"/>
      <c r="F102" s="352"/>
      <c r="G102" s="351"/>
      <c r="H102" s="294"/>
      <c r="I102" s="294"/>
      <c r="J102" s="294"/>
      <c r="K102" s="294"/>
      <c r="L102" s="294"/>
      <c r="M102" s="294"/>
      <c r="N102" s="294"/>
      <c r="O102" s="294"/>
      <c r="P102" s="294"/>
      <c r="Q102" s="294"/>
      <c r="R102" s="294"/>
      <c r="S102" s="294"/>
      <c r="T102" s="294"/>
      <c r="U102" s="294"/>
      <c r="V102" s="294"/>
      <c r="W102" s="294"/>
      <c r="X102" s="294"/>
      <c r="Y102" s="294"/>
      <c r="Z102" s="294"/>
      <c r="AA102" s="294"/>
    </row>
    <row r="103" spans="1:27" s="335" customFormat="1">
      <c r="A103" s="294"/>
      <c r="B103" s="294"/>
      <c r="C103" s="294"/>
      <c r="D103" s="294"/>
      <c r="E103" s="351"/>
      <c r="F103" s="352"/>
      <c r="G103" s="351"/>
      <c r="H103" s="294"/>
      <c r="I103" s="294"/>
      <c r="J103" s="294"/>
      <c r="K103" s="294"/>
      <c r="L103" s="294"/>
      <c r="M103" s="294"/>
      <c r="N103" s="294"/>
      <c r="O103" s="294"/>
      <c r="P103" s="294"/>
      <c r="Q103" s="294"/>
      <c r="R103" s="294"/>
      <c r="S103" s="294"/>
      <c r="T103" s="294"/>
      <c r="U103" s="294"/>
      <c r="V103" s="294"/>
      <c r="W103" s="294"/>
      <c r="X103" s="294"/>
      <c r="Y103" s="294"/>
      <c r="Z103" s="294"/>
      <c r="AA103" s="294"/>
    </row>
    <row r="104" spans="1:27" s="335" customFormat="1">
      <c r="A104" s="294"/>
      <c r="B104" s="294"/>
      <c r="C104" s="294"/>
      <c r="D104" s="294"/>
      <c r="E104" s="351"/>
      <c r="F104" s="352"/>
      <c r="G104" s="351"/>
      <c r="H104" s="294"/>
      <c r="I104" s="294"/>
      <c r="J104" s="294"/>
      <c r="K104" s="294"/>
      <c r="L104" s="294"/>
      <c r="M104" s="294"/>
      <c r="N104" s="294"/>
      <c r="O104" s="294"/>
      <c r="P104" s="294"/>
      <c r="Q104" s="294"/>
      <c r="R104" s="294"/>
      <c r="S104" s="294"/>
      <c r="T104" s="294"/>
      <c r="U104" s="294"/>
      <c r="V104" s="294"/>
      <c r="W104" s="294"/>
      <c r="X104" s="294"/>
      <c r="Y104" s="294"/>
      <c r="Z104" s="294"/>
      <c r="AA104" s="294"/>
    </row>
    <row r="105" spans="1:27" s="335" customFormat="1">
      <c r="A105" s="294"/>
      <c r="B105" s="294"/>
      <c r="C105" s="294"/>
      <c r="D105" s="294"/>
      <c r="E105" s="351"/>
      <c r="F105" s="352"/>
      <c r="G105" s="351"/>
      <c r="H105" s="294"/>
      <c r="I105" s="294"/>
      <c r="J105" s="294"/>
      <c r="K105" s="294"/>
      <c r="L105" s="294"/>
      <c r="M105" s="294"/>
      <c r="N105" s="294"/>
      <c r="O105" s="294"/>
      <c r="P105" s="294"/>
      <c r="Q105" s="294"/>
      <c r="R105" s="294"/>
      <c r="S105" s="294"/>
      <c r="T105" s="294"/>
      <c r="U105" s="294"/>
      <c r="V105" s="294"/>
      <c r="W105" s="294"/>
      <c r="X105" s="294"/>
      <c r="Y105" s="294"/>
      <c r="Z105" s="294"/>
      <c r="AA105" s="294"/>
    </row>
    <row r="106" spans="1:27" s="335" customFormat="1">
      <c r="A106" s="294"/>
      <c r="B106" s="294"/>
      <c r="C106" s="294"/>
      <c r="D106" s="294"/>
      <c r="E106" s="351"/>
      <c r="F106" s="352"/>
      <c r="G106" s="351"/>
      <c r="H106" s="294"/>
      <c r="I106" s="294"/>
      <c r="J106" s="294"/>
      <c r="K106" s="294"/>
      <c r="L106" s="294"/>
      <c r="M106" s="294"/>
      <c r="N106" s="294"/>
      <c r="O106" s="294"/>
      <c r="P106" s="294"/>
      <c r="Q106" s="294"/>
      <c r="R106" s="294"/>
      <c r="S106" s="294"/>
      <c r="T106" s="294"/>
      <c r="U106" s="294"/>
      <c r="V106" s="294"/>
      <c r="W106" s="294"/>
      <c r="X106" s="294"/>
      <c r="Y106" s="294"/>
      <c r="Z106" s="294"/>
      <c r="AA106" s="294"/>
    </row>
    <row r="107" spans="1:27" s="335" customFormat="1">
      <c r="A107" s="294"/>
      <c r="B107" s="294"/>
      <c r="C107" s="294"/>
      <c r="D107" s="294"/>
      <c r="E107" s="351"/>
      <c r="F107" s="352"/>
      <c r="G107" s="351"/>
      <c r="H107" s="294"/>
      <c r="I107" s="294"/>
      <c r="J107" s="294"/>
      <c r="K107" s="294"/>
      <c r="L107" s="294"/>
      <c r="M107" s="294"/>
      <c r="N107" s="294"/>
      <c r="O107" s="294"/>
      <c r="P107" s="294"/>
      <c r="Q107" s="294"/>
      <c r="R107" s="294"/>
      <c r="S107" s="294"/>
      <c r="T107" s="294"/>
      <c r="U107" s="294"/>
      <c r="V107" s="294"/>
      <c r="W107" s="294"/>
      <c r="X107" s="294"/>
      <c r="Y107" s="294"/>
      <c r="Z107" s="294"/>
      <c r="AA107" s="294"/>
    </row>
    <row r="108" spans="1:27" s="335" customFormat="1">
      <c r="A108" s="294"/>
      <c r="B108" s="294"/>
      <c r="C108" s="294"/>
      <c r="D108" s="294"/>
      <c r="E108" s="351"/>
      <c r="F108" s="352"/>
      <c r="G108" s="351"/>
      <c r="H108" s="294"/>
      <c r="I108" s="294"/>
      <c r="J108" s="294"/>
      <c r="K108" s="294"/>
      <c r="L108" s="294"/>
      <c r="M108" s="294"/>
      <c r="N108" s="294"/>
      <c r="O108" s="294"/>
      <c r="P108" s="294"/>
      <c r="Q108" s="294"/>
      <c r="R108" s="294"/>
      <c r="S108" s="294"/>
      <c r="T108" s="294"/>
      <c r="U108" s="294"/>
      <c r="V108" s="294"/>
      <c r="W108" s="294"/>
      <c r="X108" s="294"/>
      <c r="Y108" s="294"/>
      <c r="Z108" s="294"/>
      <c r="AA108" s="294"/>
    </row>
    <row r="109" spans="1:27" s="335" customFormat="1">
      <c r="A109" s="294"/>
      <c r="B109" s="294"/>
      <c r="C109" s="294"/>
      <c r="D109" s="294"/>
      <c r="E109" s="351"/>
      <c r="F109" s="352"/>
      <c r="G109" s="351"/>
      <c r="H109" s="294"/>
      <c r="I109" s="294"/>
      <c r="J109" s="294"/>
      <c r="K109" s="294"/>
      <c r="L109" s="294"/>
      <c r="M109" s="294"/>
      <c r="N109" s="294"/>
      <c r="O109" s="294"/>
      <c r="P109" s="294"/>
      <c r="Q109" s="294"/>
      <c r="R109" s="294"/>
      <c r="S109" s="294"/>
      <c r="T109" s="294"/>
      <c r="U109" s="294"/>
      <c r="V109" s="294"/>
      <c r="W109" s="294"/>
      <c r="X109" s="294"/>
      <c r="Y109" s="294"/>
      <c r="Z109" s="294"/>
      <c r="AA109" s="294"/>
    </row>
    <row r="110" spans="1:27" s="335" customFormat="1">
      <c r="A110" s="294"/>
      <c r="B110" s="294"/>
      <c r="C110" s="294"/>
      <c r="D110" s="294"/>
      <c r="E110" s="351"/>
      <c r="F110" s="352"/>
      <c r="G110" s="351"/>
      <c r="H110" s="294"/>
      <c r="I110" s="294"/>
      <c r="J110" s="294"/>
      <c r="K110" s="294"/>
      <c r="L110" s="294"/>
      <c r="M110" s="294"/>
      <c r="N110" s="294"/>
      <c r="O110" s="294"/>
      <c r="P110" s="294"/>
      <c r="Q110" s="294"/>
      <c r="R110" s="294"/>
      <c r="S110" s="294"/>
      <c r="T110" s="294"/>
      <c r="U110" s="294"/>
      <c r="V110" s="294"/>
      <c r="W110" s="294"/>
      <c r="X110" s="294"/>
      <c r="Y110" s="294"/>
      <c r="Z110" s="294"/>
      <c r="AA110" s="294"/>
    </row>
    <row r="111" spans="1:27" s="335" customFormat="1">
      <c r="A111" s="294"/>
      <c r="B111" s="294"/>
      <c r="C111" s="294"/>
      <c r="D111" s="294"/>
      <c r="E111" s="351"/>
      <c r="F111" s="352"/>
      <c r="G111" s="351"/>
      <c r="H111" s="294"/>
      <c r="I111" s="294"/>
      <c r="J111" s="294"/>
      <c r="K111" s="294"/>
      <c r="L111" s="294"/>
      <c r="M111" s="294"/>
      <c r="N111" s="294"/>
      <c r="O111" s="294"/>
      <c r="P111" s="294"/>
      <c r="Q111" s="294"/>
      <c r="R111" s="294"/>
      <c r="S111" s="294"/>
      <c r="T111" s="294"/>
      <c r="U111" s="294"/>
      <c r="V111" s="294"/>
      <c r="W111" s="294"/>
      <c r="X111" s="294"/>
      <c r="Y111" s="294"/>
      <c r="Z111" s="294"/>
      <c r="AA111" s="294"/>
    </row>
    <row r="112" spans="1:27" s="335" customFormat="1">
      <c r="A112" s="294"/>
      <c r="B112" s="294"/>
      <c r="C112" s="294"/>
      <c r="D112" s="294"/>
      <c r="E112" s="351"/>
      <c r="F112" s="352"/>
      <c r="G112" s="351"/>
      <c r="H112" s="294"/>
      <c r="I112" s="294"/>
      <c r="J112" s="294"/>
      <c r="K112" s="294"/>
      <c r="L112" s="294"/>
      <c r="M112" s="294"/>
      <c r="N112" s="294"/>
      <c r="O112" s="294"/>
      <c r="P112" s="294"/>
      <c r="Q112" s="294"/>
      <c r="R112" s="294"/>
      <c r="S112" s="294"/>
      <c r="T112" s="294"/>
      <c r="U112" s="294"/>
      <c r="V112" s="294"/>
      <c r="W112" s="294"/>
      <c r="X112" s="294"/>
      <c r="Y112" s="294"/>
      <c r="Z112" s="294"/>
      <c r="AA112" s="294"/>
    </row>
    <row r="113" spans="1:27" s="335" customFormat="1">
      <c r="A113" s="294"/>
      <c r="B113" s="294"/>
      <c r="C113" s="294"/>
      <c r="D113" s="294"/>
      <c r="E113" s="351"/>
      <c r="F113" s="352"/>
      <c r="G113" s="351"/>
      <c r="H113" s="294"/>
      <c r="I113" s="294"/>
      <c r="J113" s="294"/>
      <c r="K113" s="294"/>
      <c r="L113" s="294"/>
      <c r="M113" s="294"/>
      <c r="N113" s="294"/>
      <c r="O113" s="294"/>
      <c r="P113" s="294"/>
      <c r="Q113" s="294"/>
      <c r="R113" s="294"/>
      <c r="S113" s="294"/>
      <c r="T113" s="294"/>
      <c r="U113" s="294"/>
      <c r="V113" s="294"/>
      <c r="W113" s="294"/>
      <c r="X113" s="294"/>
      <c r="Y113" s="294"/>
      <c r="Z113" s="294"/>
      <c r="AA113" s="294"/>
    </row>
    <row r="114" spans="1:27" s="335" customFormat="1">
      <c r="A114" s="294"/>
      <c r="B114" s="294"/>
      <c r="C114" s="294"/>
      <c r="D114" s="294"/>
      <c r="E114" s="351"/>
      <c r="F114" s="352"/>
      <c r="G114" s="351"/>
      <c r="H114" s="294"/>
      <c r="I114" s="294"/>
      <c r="J114" s="294"/>
      <c r="K114" s="294"/>
      <c r="L114" s="294"/>
      <c r="M114" s="294"/>
      <c r="N114" s="294"/>
      <c r="O114" s="294"/>
      <c r="P114" s="294"/>
      <c r="Q114" s="294"/>
      <c r="R114" s="294"/>
      <c r="S114" s="294"/>
      <c r="T114" s="294"/>
      <c r="U114" s="294"/>
      <c r="V114" s="294"/>
      <c r="W114" s="294"/>
      <c r="X114" s="294"/>
      <c r="Y114" s="294"/>
      <c r="Z114" s="294"/>
      <c r="AA114" s="294"/>
    </row>
    <row r="115" spans="1:27" s="335" customFormat="1">
      <c r="A115" s="294"/>
      <c r="B115" s="294"/>
      <c r="C115" s="294"/>
      <c r="D115" s="294"/>
      <c r="E115" s="351"/>
      <c r="F115" s="352"/>
      <c r="G115" s="351"/>
      <c r="H115" s="294"/>
      <c r="I115" s="294"/>
      <c r="J115" s="294"/>
      <c r="K115" s="294"/>
      <c r="L115" s="294"/>
      <c r="M115" s="294"/>
      <c r="N115" s="294"/>
      <c r="O115" s="294"/>
      <c r="P115" s="294"/>
      <c r="Q115" s="294"/>
      <c r="R115" s="294"/>
      <c r="S115" s="294"/>
      <c r="T115" s="294"/>
      <c r="U115" s="294"/>
      <c r="V115" s="294"/>
      <c r="W115" s="294"/>
      <c r="X115" s="294"/>
      <c r="Y115" s="294"/>
      <c r="Z115" s="294"/>
      <c r="AA115" s="294"/>
    </row>
    <row r="116" spans="1:27" s="335" customFormat="1">
      <c r="A116" s="294"/>
      <c r="B116" s="294"/>
      <c r="C116" s="294"/>
      <c r="D116" s="294"/>
      <c r="E116" s="351"/>
      <c r="F116" s="352"/>
      <c r="G116" s="351"/>
      <c r="H116" s="294"/>
      <c r="I116" s="294"/>
      <c r="J116" s="294"/>
      <c r="K116" s="294"/>
      <c r="L116" s="294"/>
      <c r="M116" s="294"/>
      <c r="N116" s="294"/>
      <c r="O116" s="294"/>
      <c r="P116" s="294"/>
      <c r="Q116" s="294"/>
      <c r="R116" s="294"/>
      <c r="S116" s="294"/>
      <c r="T116" s="294"/>
      <c r="U116" s="294"/>
      <c r="V116" s="294"/>
      <c r="W116" s="294"/>
      <c r="X116" s="294"/>
      <c r="Y116" s="294"/>
      <c r="Z116" s="294"/>
      <c r="AA116" s="294"/>
    </row>
    <row r="117" spans="1:27" s="335" customFormat="1">
      <c r="A117" s="294"/>
      <c r="B117" s="294"/>
      <c r="C117" s="294"/>
      <c r="D117" s="294"/>
      <c r="E117" s="351"/>
      <c r="F117" s="352"/>
      <c r="G117" s="351"/>
      <c r="H117" s="294"/>
      <c r="I117" s="294"/>
      <c r="J117" s="294"/>
      <c r="K117" s="294"/>
      <c r="L117" s="294"/>
      <c r="M117" s="294"/>
      <c r="N117" s="294"/>
      <c r="O117" s="294"/>
      <c r="P117" s="294"/>
      <c r="Q117" s="294"/>
      <c r="R117" s="294"/>
      <c r="S117" s="294"/>
      <c r="T117" s="294"/>
      <c r="U117" s="294"/>
      <c r="V117" s="294"/>
      <c r="W117" s="294"/>
      <c r="X117" s="294"/>
      <c r="Y117" s="294"/>
      <c r="Z117" s="294"/>
      <c r="AA117" s="294"/>
    </row>
    <row r="118" spans="1:27" s="335" customFormat="1">
      <c r="A118" s="294"/>
      <c r="B118" s="294"/>
      <c r="C118" s="294"/>
      <c r="D118" s="294"/>
      <c r="E118" s="351"/>
      <c r="F118" s="352"/>
      <c r="G118" s="351"/>
      <c r="H118" s="294"/>
      <c r="I118" s="294"/>
      <c r="J118" s="294"/>
      <c r="K118" s="294"/>
      <c r="L118" s="294"/>
      <c r="M118" s="294"/>
      <c r="N118" s="294"/>
      <c r="O118" s="294"/>
      <c r="P118" s="294"/>
      <c r="Q118" s="294"/>
      <c r="R118" s="294"/>
      <c r="S118" s="294"/>
      <c r="T118" s="294"/>
      <c r="U118" s="294"/>
      <c r="V118" s="294"/>
      <c r="W118" s="294"/>
      <c r="X118" s="294"/>
      <c r="Y118" s="294"/>
      <c r="Z118" s="294"/>
      <c r="AA118" s="294"/>
    </row>
    <row r="119" spans="1:27" s="335" customFormat="1">
      <c r="A119" s="294"/>
      <c r="B119" s="294"/>
      <c r="C119" s="294"/>
      <c r="D119" s="294"/>
      <c r="E119" s="351"/>
      <c r="F119" s="352"/>
      <c r="G119" s="351"/>
      <c r="H119" s="294"/>
      <c r="I119" s="294"/>
      <c r="J119" s="294"/>
      <c r="K119" s="294"/>
      <c r="L119" s="294"/>
      <c r="M119" s="294"/>
      <c r="N119" s="294"/>
      <c r="O119" s="294"/>
      <c r="P119" s="294"/>
      <c r="Q119" s="294"/>
      <c r="R119" s="294"/>
      <c r="S119" s="294"/>
      <c r="T119" s="294"/>
      <c r="U119" s="294"/>
      <c r="V119" s="294"/>
      <c r="W119" s="294"/>
      <c r="X119" s="294"/>
      <c r="Y119" s="294"/>
      <c r="Z119" s="294"/>
      <c r="AA119" s="294"/>
    </row>
    <row r="120" spans="1:27" s="335" customFormat="1">
      <c r="A120" s="294"/>
      <c r="B120" s="294"/>
      <c r="C120" s="294"/>
      <c r="D120" s="294"/>
      <c r="E120" s="351"/>
      <c r="F120" s="352"/>
      <c r="G120" s="351"/>
      <c r="H120" s="294"/>
      <c r="I120" s="294"/>
      <c r="J120" s="294"/>
      <c r="K120" s="294"/>
      <c r="L120" s="294"/>
      <c r="M120" s="294"/>
      <c r="N120" s="294"/>
      <c r="O120" s="294"/>
      <c r="P120" s="294"/>
      <c r="Q120" s="294"/>
      <c r="R120" s="294"/>
      <c r="S120" s="294"/>
      <c r="T120" s="294"/>
      <c r="U120" s="294"/>
      <c r="V120" s="294"/>
      <c r="W120" s="294"/>
      <c r="X120" s="294"/>
      <c r="Y120" s="294"/>
      <c r="Z120" s="294"/>
      <c r="AA120" s="294"/>
    </row>
    <row r="121" spans="1:27" s="335" customFormat="1">
      <c r="A121" s="294"/>
      <c r="B121" s="294"/>
      <c r="C121" s="294"/>
      <c r="D121" s="294"/>
      <c r="E121" s="351"/>
      <c r="F121" s="352"/>
      <c r="G121" s="351"/>
      <c r="H121" s="294"/>
      <c r="I121" s="294"/>
      <c r="J121" s="294"/>
      <c r="K121" s="294"/>
      <c r="L121" s="294"/>
      <c r="M121" s="294"/>
      <c r="N121" s="294"/>
      <c r="O121" s="294"/>
      <c r="P121" s="294"/>
      <c r="Q121" s="294"/>
      <c r="R121" s="294"/>
      <c r="S121" s="294"/>
      <c r="T121" s="294"/>
      <c r="U121" s="294"/>
      <c r="V121" s="294"/>
      <c r="W121" s="294"/>
      <c r="X121" s="294"/>
      <c r="Y121" s="294"/>
      <c r="Z121" s="294"/>
      <c r="AA121" s="294"/>
    </row>
    <row r="122" spans="1:27" s="335" customFormat="1">
      <c r="A122" s="294"/>
      <c r="B122" s="294"/>
      <c r="C122" s="294"/>
      <c r="D122" s="294"/>
      <c r="E122" s="351"/>
      <c r="F122" s="352"/>
      <c r="G122" s="351"/>
      <c r="H122" s="294"/>
      <c r="I122" s="294"/>
      <c r="J122" s="294"/>
      <c r="K122" s="294"/>
      <c r="L122" s="294"/>
      <c r="M122" s="294"/>
      <c r="N122" s="294"/>
      <c r="O122" s="294"/>
      <c r="P122" s="294"/>
      <c r="Q122" s="294"/>
      <c r="R122" s="294"/>
      <c r="S122" s="294"/>
      <c r="T122" s="294"/>
      <c r="U122" s="294"/>
      <c r="V122" s="294"/>
      <c r="W122" s="294"/>
      <c r="X122" s="294"/>
      <c r="Y122" s="294"/>
      <c r="Z122" s="294"/>
      <c r="AA122" s="294"/>
    </row>
    <row r="123" spans="1:27" s="335" customFormat="1">
      <c r="A123" s="294"/>
      <c r="B123" s="294"/>
      <c r="C123" s="294"/>
      <c r="D123" s="294"/>
      <c r="E123" s="351"/>
      <c r="F123" s="352"/>
      <c r="G123" s="351"/>
      <c r="H123" s="294"/>
      <c r="I123" s="294"/>
      <c r="J123" s="294"/>
      <c r="K123" s="294"/>
      <c r="L123" s="294"/>
      <c r="M123" s="294"/>
      <c r="N123" s="294"/>
      <c r="O123" s="294"/>
      <c r="P123" s="294"/>
      <c r="Q123" s="294"/>
      <c r="R123" s="294"/>
      <c r="S123" s="294"/>
      <c r="T123" s="294"/>
      <c r="U123" s="294"/>
      <c r="V123" s="294"/>
      <c r="W123" s="294"/>
      <c r="X123" s="294"/>
      <c r="Y123" s="294"/>
      <c r="Z123" s="294"/>
      <c r="AA123" s="294"/>
    </row>
    <row r="124" spans="1:27" s="335" customFormat="1">
      <c r="A124" s="294"/>
      <c r="B124" s="294"/>
      <c r="C124" s="294"/>
      <c r="D124" s="294"/>
      <c r="E124" s="351"/>
      <c r="F124" s="352"/>
      <c r="G124" s="351"/>
      <c r="H124" s="294"/>
      <c r="I124" s="294"/>
      <c r="J124" s="294"/>
      <c r="K124" s="294"/>
      <c r="L124" s="294"/>
      <c r="M124" s="294"/>
      <c r="N124" s="294"/>
      <c r="O124" s="294"/>
      <c r="P124" s="294"/>
      <c r="Q124" s="294"/>
      <c r="R124" s="294"/>
      <c r="S124" s="294"/>
      <c r="T124" s="294"/>
      <c r="U124" s="294"/>
      <c r="V124" s="294"/>
      <c r="W124" s="294"/>
      <c r="X124" s="294"/>
      <c r="Y124" s="294"/>
      <c r="Z124" s="294"/>
      <c r="AA124" s="294"/>
    </row>
    <row r="125" spans="1:27" s="335" customFormat="1">
      <c r="A125" s="294"/>
      <c r="B125" s="294"/>
      <c r="C125" s="294"/>
      <c r="D125" s="294"/>
      <c r="E125" s="351"/>
      <c r="F125" s="352"/>
      <c r="G125" s="351"/>
      <c r="H125" s="294"/>
      <c r="I125" s="294"/>
      <c r="J125" s="294"/>
      <c r="K125" s="294"/>
      <c r="L125" s="294"/>
      <c r="M125" s="294"/>
      <c r="N125" s="294"/>
      <c r="O125" s="294"/>
      <c r="P125" s="294"/>
      <c r="Q125" s="294"/>
      <c r="R125" s="294"/>
      <c r="S125" s="294"/>
      <c r="T125" s="294"/>
      <c r="U125" s="294"/>
      <c r="V125" s="294"/>
      <c r="W125" s="294"/>
      <c r="X125" s="294"/>
      <c r="Y125" s="294"/>
      <c r="Z125" s="294"/>
      <c r="AA125" s="294"/>
    </row>
    <row r="126" spans="1:27" s="335" customFormat="1">
      <c r="A126" s="294"/>
      <c r="B126" s="294"/>
      <c r="C126" s="294"/>
      <c r="D126" s="294"/>
      <c r="E126" s="351"/>
      <c r="F126" s="352"/>
      <c r="G126" s="351"/>
      <c r="H126" s="294"/>
      <c r="I126" s="294"/>
      <c r="J126" s="294"/>
      <c r="K126" s="294"/>
      <c r="L126" s="294"/>
      <c r="M126" s="294"/>
      <c r="N126" s="294"/>
      <c r="O126" s="294"/>
      <c r="P126" s="294"/>
      <c r="Q126" s="294"/>
      <c r="R126" s="294"/>
      <c r="S126" s="294"/>
      <c r="T126" s="294"/>
      <c r="U126" s="294"/>
      <c r="V126" s="294"/>
      <c r="W126" s="294"/>
      <c r="X126" s="294"/>
      <c r="Y126" s="294"/>
      <c r="Z126" s="294"/>
      <c r="AA126" s="294"/>
    </row>
    <row r="127" spans="1:27" s="335" customFormat="1">
      <c r="A127" s="294"/>
      <c r="B127" s="294"/>
      <c r="C127" s="294"/>
      <c r="D127" s="294"/>
      <c r="E127" s="351"/>
      <c r="F127" s="352"/>
      <c r="G127" s="351"/>
      <c r="H127" s="294"/>
      <c r="I127" s="294"/>
      <c r="J127" s="294"/>
      <c r="K127" s="294"/>
      <c r="L127" s="294"/>
      <c r="M127" s="294"/>
      <c r="N127" s="294"/>
      <c r="O127" s="294"/>
      <c r="P127" s="294"/>
      <c r="Q127" s="294"/>
      <c r="R127" s="294"/>
      <c r="S127" s="294"/>
      <c r="T127" s="294"/>
      <c r="U127" s="294"/>
      <c r="V127" s="294"/>
      <c r="W127" s="294"/>
      <c r="X127" s="294"/>
      <c r="Y127" s="294"/>
      <c r="Z127" s="294"/>
      <c r="AA127" s="294"/>
    </row>
    <row r="128" spans="1:27" s="335" customFormat="1">
      <c r="A128" s="294"/>
      <c r="B128" s="294"/>
      <c r="C128" s="294"/>
      <c r="D128" s="294"/>
      <c r="E128" s="351"/>
      <c r="F128" s="352"/>
      <c r="G128" s="351"/>
      <c r="H128" s="294"/>
      <c r="I128" s="294"/>
      <c r="J128" s="294"/>
      <c r="K128" s="294"/>
      <c r="L128" s="294"/>
      <c r="M128" s="294"/>
      <c r="N128" s="294"/>
      <c r="O128" s="294"/>
      <c r="P128" s="294"/>
      <c r="Q128" s="294"/>
      <c r="R128" s="294"/>
      <c r="S128" s="294"/>
      <c r="T128" s="294"/>
      <c r="U128" s="294"/>
      <c r="V128" s="294"/>
      <c r="W128" s="294"/>
      <c r="X128" s="294"/>
      <c r="Y128" s="294"/>
      <c r="Z128" s="294"/>
      <c r="AA128" s="294"/>
    </row>
    <row r="129" spans="1:27" s="335" customFormat="1">
      <c r="A129" s="294"/>
      <c r="B129" s="294"/>
      <c r="C129" s="294"/>
      <c r="D129" s="294"/>
      <c r="E129" s="351"/>
      <c r="F129" s="352"/>
      <c r="G129" s="351"/>
      <c r="H129" s="294"/>
      <c r="I129" s="294"/>
      <c r="J129" s="294"/>
      <c r="K129" s="294"/>
      <c r="L129" s="294"/>
      <c r="M129" s="294"/>
      <c r="N129" s="294"/>
      <c r="O129" s="294"/>
      <c r="P129" s="294"/>
      <c r="Q129" s="294"/>
      <c r="R129" s="294"/>
      <c r="S129" s="294"/>
      <c r="T129" s="294"/>
      <c r="U129" s="294"/>
      <c r="V129" s="294"/>
      <c r="W129" s="294"/>
      <c r="X129" s="294"/>
      <c r="Y129" s="294"/>
      <c r="Z129" s="294"/>
      <c r="AA129" s="294"/>
    </row>
    <row r="130" spans="1:27" s="335" customFormat="1">
      <c r="A130" s="294"/>
      <c r="B130" s="294"/>
      <c r="C130" s="294"/>
      <c r="D130" s="294"/>
      <c r="E130" s="351"/>
      <c r="F130" s="352"/>
      <c r="G130" s="351"/>
      <c r="H130" s="294"/>
      <c r="I130" s="294"/>
      <c r="J130" s="294"/>
      <c r="K130" s="294"/>
      <c r="L130" s="294"/>
      <c r="M130" s="294"/>
      <c r="N130" s="294"/>
      <c r="O130" s="294"/>
      <c r="P130" s="294"/>
      <c r="Q130" s="294"/>
      <c r="R130" s="294"/>
      <c r="S130" s="294"/>
      <c r="T130" s="294"/>
      <c r="U130" s="294"/>
      <c r="V130" s="294"/>
      <c r="W130" s="294"/>
      <c r="X130" s="294"/>
      <c r="Y130" s="294"/>
      <c r="Z130" s="294"/>
      <c r="AA130" s="294"/>
    </row>
    <row r="131" spans="1:27" s="335" customFormat="1">
      <c r="A131" s="294"/>
      <c r="B131" s="294"/>
      <c r="C131" s="294"/>
      <c r="D131" s="294"/>
      <c r="E131" s="351"/>
      <c r="F131" s="352"/>
      <c r="G131" s="351"/>
      <c r="H131" s="294"/>
      <c r="I131" s="294"/>
      <c r="J131" s="294"/>
      <c r="K131" s="294"/>
      <c r="L131" s="294"/>
      <c r="M131" s="294"/>
      <c r="N131" s="294"/>
      <c r="O131" s="294"/>
      <c r="P131" s="294"/>
      <c r="Q131" s="294"/>
      <c r="R131" s="294"/>
      <c r="S131" s="294"/>
      <c r="T131" s="294"/>
      <c r="U131" s="294"/>
      <c r="V131" s="294"/>
      <c r="W131" s="294"/>
      <c r="X131" s="294"/>
      <c r="Y131" s="294"/>
      <c r="Z131" s="294"/>
      <c r="AA131" s="294"/>
    </row>
    <row r="132" spans="1:27" s="335" customFormat="1">
      <c r="A132" s="294"/>
      <c r="B132" s="294"/>
      <c r="C132" s="294"/>
      <c r="D132" s="294"/>
      <c r="E132" s="351"/>
      <c r="F132" s="352"/>
      <c r="G132" s="351"/>
      <c r="H132" s="294"/>
      <c r="I132" s="294"/>
      <c r="J132" s="294"/>
      <c r="K132" s="294"/>
      <c r="L132" s="294"/>
      <c r="M132" s="294"/>
      <c r="N132" s="294"/>
      <c r="O132" s="294"/>
      <c r="P132" s="294"/>
      <c r="Q132" s="294"/>
      <c r="R132" s="294"/>
      <c r="S132" s="294"/>
      <c r="T132" s="294"/>
      <c r="U132" s="294"/>
      <c r="V132" s="294"/>
      <c r="W132" s="294"/>
      <c r="X132" s="294"/>
      <c r="Y132" s="294"/>
      <c r="Z132" s="294"/>
      <c r="AA132" s="294"/>
    </row>
    <row r="133" spans="1:27" s="335" customFormat="1">
      <c r="A133" s="294"/>
      <c r="B133" s="294"/>
      <c r="C133" s="294"/>
      <c r="D133" s="294"/>
      <c r="E133" s="351"/>
      <c r="F133" s="352"/>
      <c r="G133" s="351"/>
      <c r="H133" s="294"/>
      <c r="I133" s="294"/>
      <c r="J133" s="294"/>
      <c r="K133" s="294"/>
      <c r="L133" s="294"/>
      <c r="M133" s="294"/>
      <c r="N133" s="294"/>
      <c r="O133" s="294"/>
      <c r="P133" s="294"/>
      <c r="Q133" s="294"/>
      <c r="R133" s="294"/>
      <c r="S133" s="294"/>
      <c r="T133" s="294"/>
      <c r="U133" s="294"/>
      <c r="V133" s="294"/>
      <c r="W133" s="294"/>
      <c r="X133" s="294"/>
      <c r="Y133" s="294"/>
      <c r="Z133" s="294"/>
      <c r="AA133" s="294"/>
    </row>
    <row r="134" spans="1:27" s="335" customFormat="1">
      <c r="A134" s="294"/>
      <c r="B134" s="294"/>
      <c r="C134" s="294"/>
      <c r="D134" s="294"/>
      <c r="E134" s="351"/>
      <c r="F134" s="352"/>
      <c r="G134" s="351"/>
      <c r="H134" s="294"/>
      <c r="I134" s="294"/>
      <c r="J134" s="294"/>
      <c r="K134" s="294"/>
      <c r="L134" s="294"/>
      <c r="M134" s="294"/>
      <c r="N134" s="294"/>
      <c r="O134" s="294"/>
      <c r="P134" s="294"/>
      <c r="Q134" s="294"/>
      <c r="R134" s="294"/>
      <c r="S134" s="294"/>
      <c r="T134" s="294"/>
      <c r="U134" s="294"/>
      <c r="V134" s="294"/>
      <c r="W134" s="294"/>
      <c r="X134" s="294"/>
      <c r="Y134" s="294"/>
      <c r="Z134" s="294"/>
      <c r="AA134" s="294"/>
    </row>
    <row r="135" spans="1:27" s="335" customFormat="1">
      <c r="A135" s="294"/>
      <c r="B135" s="294"/>
      <c r="C135" s="294"/>
      <c r="D135" s="294"/>
      <c r="E135" s="351"/>
      <c r="F135" s="352"/>
      <c r="G135" s="351"/>
      <c r="H135" s="294"/>
      <c r="I135" s="294"/>
      <c r="J135" s="294"/>
      <c r="K135" s="294"/>
      <c r="L135" s="294"/>
      <c r="M135" s="294"/>
      <c r="N135" s="294"/>
      <c r="O135" s="294"/>
      <c r="P135" s="294"/>
      <c r="Q135" s="294"/>
      <c r="R135" s="294"/>
      <c r="S135" s="294"/>
      <c r="T135" s="294"/>
      <c r="U135" s="294"/>
      <c r="V135" s="294"/>
      <c r="W135" s="294"/>
      <c r="X135" s="294"/>
      <c r="Y135" s="294"/>
      <c r="Z135" s="294"/>
      <c r="AA135" s="294"/>
    </row>
    <row r="136" spans="1:27" s="335" customFormat="1">
      <c r="A136" s="294"/>
      <c r="B136" s="294"/>
      <c r="C136" s="294"/>
      <c r="D136" s="294"/>
      <c r="E136" s="351"/>
      <c r="F136" s="352"/>
      <c r="G136" s="351"/>
      <c r="H136" s="294"/>
      <c r="I136" s="294"/>
      <c r="J136" s="294"/>
      <c r="K136" s="294"/>
      <c r="L136" s="294"/>
      <c r="M136" s="294"/>
      <c r="N136" s="294"/>
      <c r="O136" s="294"/>
      <c r="P136" s="294"/>
      <c r="Q136" s="294"/>
      <c r="R136" s="294"/>
      <c r="S136" s="294"/>
      <c r="T136" s="294"/>
      <c r="U136" s="294"/>
      <c r="V136" s="294"/>
      <c r="W136" s="294"/>
      <c r="X136" s="294"/>
      <c r="Y136" s="294"/>
      <c r="Z136" s="294"/>
      <c r="AA136" s="294"/>
    </row>
    <row r="137" spans="1:27" s="335" customFormat="1">
      <c r="A137" s="294"/>
      <c r="B137" s="294"/>
      <c r="C137" s="294"/>
      <c r="D137" s="294"/>
      <c r="E137" s="351"/>
      <c r="F137" s="352"/>
      <c r="G137" s="351"/>
      <c r="H137" s="294"/>
      <c r="I137" s="294"/>
      <c r="J137" s="294"/>
      <c r="K137" s="294"/>
      <c r="L137" s="294"/>
      <c r="M137" s="294"/>
      <c r="N137" s="294"/>
      <c r="O137" s="294"/>
      <c r="P137" s="294"/>
      <c r="Q137" s="294"/>
      <c r="R137" s="294"/>
      <c r="S137" s="294"/>
      <c r="T137" s="294"/>
      <c r="U137" s="294"/>
      <c r="V137" s="294"/>
      <c r="W137" s="294"/>
      <c r="X137" s="294"/>
      <c r="Y137" s="294"/>
      <c r="Z137" s="294"/>
      <c r="AA137" s="294"/>
    </row>
    <row r="138" spans="1:27" s="335" customFormat="1">
      <c r="A138" s="294"/>
      <c r="B138" s="294"/>
      <c r="C138" s="294"/>
      <c r="D138" s="294"/>
      <c r="E138" s="351"/>
      <c r="F138" s="352"/>
      <c r="G138" s="351"/>
      <c r="H138" s="294"/>
      <c r="I138" s="294"/>
      <c r="J138" s="294"/>
      <c r="K138" s="294"/>
      <c r="L138" s="294"/>
      <c r="M138" s="294"/>
      <c r="N138" s="294"/>
      <c r="O138" s="294"/>
      <c r="P138" s="294"/>
      <c r="Q138" s="294"/>
      <c r="R138" s="294"/>
      <c r="S138" s="294"/>
      <c r="T138" s="294"/>
      <c r="U138" s="294"/>
      <c r="V138" s="294"/>
      <c r="W138" s="294"/>
      <c r="X138" s="294"/>
      <c r="Y138" s="294"/>
      <c r="Z138" s="294"/>
      <c r="AA138" s="294"/>
    </row>
    <row r="139" spans="1:27" s="335" customFormat="1">
      <c r="A139" s="294"/>
      <c r="B139" s="294"/>
      <c r="C139" s="294"/>
      <c r="D139" s="294"/>
      <c r="E139" s="351"/>
      <c r="F139" s="352"/>
      <c r="G139" s="351"/>
      <c r="H139" s="294"/>
      <c r="I139" s="294"/>
      <c r="J139" s="294"/>
      <c r="K139" s="294"/>
      <c r="L139" s="294"/>
      <c r="M139" s="294"/>
      <c r="N139" s="294"/>
      <c r="O139" s="294"/>
      <c r="P139" s="294"/>
      <c r="Q139" s="294"/>
      <c r="R139" s="294"/>
      <c r="S139" s="294"/>
      <c r="T139" s="294"/>
      <c r="U139" s="294"/>
      <c r="V139" s="294"/>
      <c r="W139" s="294"/>
      <c r="X139" s="294"/>
      <c r="Y139" s="294"/>
      <c r="Z139" s="294"/>
      <c r="AA139" s="294"/>
    </row>
    <row r="140" spans="1:27" s="335" customFormat="1">
      <c r="A140" s="294"/>
      <c r="B140" s="294"/>
      <c r="C140" s="294"/>
      <c r="D140" s="294"/>
      <c r="E140" s="351"/>
      <c r="F140" s="352"/>
      <c r="G140" s="351"/>
      <c r="H140" s="294"/>
      <c r="I140" s="294"/>
      <c r="J140" s="294"/>
      <c r="K140" s="294"/>
      <c r="L140" s="294"/>
      <c r="M140" s="294"/>
      <c r="N140" s="294"/>
      <c r="O140" s="294"/>
      <c r="P140" s="294"/>
      <c r="Q140" s="294"/>
      <c r="R140" s="294"/>
      <c r="S140" s="294"/>
      <c r="T140" s="294"/>
      <c r="U140" s="294"/>
      <c r="V140" s="294"/>
      <c r="W140" s="294"/>
      <c r="X140" s="294"/>
      <c r="Y140" s="294"/>
      <c r="Z140" s="294"/>
      <c r="AA140" s="294"/>
    </row>
    <row r="141" spans="1:27" s="335" customFormat="1">
      <c r="A141" s="294"/>
      <c r="B141" s="294"/>
      <c r="C141" s="294"/>
      <c r="D141" s="294"/>
      <c r="E141" s="351"/>
      <c r="F141" s="352"/>
      <c r="G141" s="351"/>
      <c r="H141" s="294"/>
      <c r="I141" s="294"/>
      <c r="J141" s="294"/>
      <c r="K141" s="294"/>
      <c r="L141" s="294"/>
      <c r="M141" s="294"/>
      <c r="N141" s="294"/>
      <c r="O141" s="294"/>
      <c r="P141" s="294"/>
      <c r="Q141" s="294"/>
      <c r="R141" s="294"/>
      <c r="S141" s="294"/>
      <c r="T141" s="294"/>
      <c r="U141" s="294"/>
      <c r="V141" s="294"/>
      <c r="W141" s="294"/>
      <c r="X141" s="294"/>
      <c r="Y141" s="294"/>
      <c r="Z141" s="294"/>
      <c r="AA141" s="294"/>
    </row>
    <row r="142" spans="1:27" s="335" customFormat="1">
      <c r="A142" s="294"/>
      <c r="B142" s="294"/>
      <c r="C142" s="294"/>
      <c r="D142" s="294"/>
      <c r="E142" s="351"/>
      <c r="F142" s="352"/>
      <c r="G142" s="351"/>
      <c r="H142" s="294"/>
      <c r="I142" s="294"/>
      <c r="J142" s="294"/>
      <c r="K142" s="294"/>
      <c r="L142" s="294"/>
      <c r="M142" s="294"/>
      <c r="N142" s="294"/>
      <c r="O142" s="294"/>
      <c r="P142" s="294"/>
      <c r="Q142" s="294"/>
      <c r="R142" s="294"/>
      <c r="S142" s="294"/>
      <c r="T142" s="294"/>
      <c r="U142" s="294"/>
      <c r="V142" s="294"/>
      <c r="W142" s="294"/>
      <c r="X142" s="294"/>
      <c r="Y142" s="294"/>
      <c r="Z142" s="294"/>
      <c r="AA142" s="294"/>
    </row>
    <row r="143" spans="1:27" s="335" customFormat="1">
      <c r="A143" s="294"/>
      <c r="B143" s="294"/>
      <c r="C143" s="294"/>
      <c r="D143" s="294"/>
      <c r="E143" s="351"/>
      <c r="F143" s="352"/>
      <c r="G143" s="351"/>
      <c r="H143" s="294"/>
      <c r="I143" s="294"/>
      <c r="J143" s="294"/>
      <c r="K143" s="294"/>
      <c r="L143" s="294"/>
      <c r="M143" s="294"/>
      <c r="N143" s="294"/>
      <c r="O143" s="294"/>
      <c r="P143" s="294"/>
      <c r="Q143" s="294"/>
      <c r="R143" s="294"/>
      <c r="S143" s="294"/>
      <c r="T143" s="294"/>
      <c r="U143" s="294"/>
      <c r="V143" s="294"/>
      <c r="W143" s="294"/>
      <c r="X143" s="294"/>
      <c r="Y143" s="294"/>
      <c r="Z143" s="294"/>
      <c r="AA143" s="294"/>
    </row>
    <row r="144" spans="1:27" s="335" customFormat="1">
      <c r="A144" s="294"/>
      <c r="B144" s="294"/>
      <c r="C144" s="294"/>
      <c r="D144" s="294"/>
      <c r="E144" s="351"/>
      <c r="F144" s="352"/>
      <c r="G144" s="351"/>
      <c r="H144" s="294"/>
      <c r="I144" s="294"/>
      <c r="J144" s="294"/>
      <c r="K144" s="294"/>
      <c r="L144" s="294"/>
      <c r="M144" s="294"/>
      <c r="N144" s="294"/>
      <c r="O144" s="294"/>
      <c r="P144" s="294"/>
      <c r="Q144" s="294"/>
      <c r="R144" s="294"/>
      <c r="S144" s="294"/>
      <c r="T144" s="294"/>
      <c r="U144" s="294"/>
      <c r="V144" s="294"/>
      <c r="W144" s="294"/>
      <c r="X144" s="294"/>
      <c r="Y144" s="294"/>
      <c r="Z144" s="294"/>
      <c r="AA144" s="294"/>
    </row>
    <row r="145" spans="1:27" s="335" customFormat="1">
      <c r="A145" s="294"/>
      <c r="B145" s="294"/>
      <c r="C145" s="294"/>
      <c r="D145" s="294"/>
      <c r="E145" s="351"/>
      <c r="F145" s="352"/>
      <c r="G145" s="351"/>
      <c r="H145" s="294"/>
      <c r="I145" s="294"/>
      <c r="J145" s="294"/>
      <c r="K145" s="294"/>
      <c r="L145" s="294"/>
      <c r="M145" s="294"/>
      <c r="N145" s="294"/>
      <c r="O145" s="294"/>
      <c r="P145" s="294"/>
      <c r="Q145" s="294"/>
      <c r="R145" s="294"/>
      <c r="S145" s="294"/>
      <c r="T145" s="294"/>
      <c r="U145" s="294"/>
      <c r="V145" s="294"/>
      <c r="W145" s="294"/>
      <c r="X145" s="294"/>
      <c r="Y145" s="294"/>
      <c r="Z145" s="294"/>
      <c r="AA145" s="294"/>
    </row>
    <row r="146" spans="1:27" s="335" customFormat="1">
      <c r="A146" s="294"/>
      <c r="B146" s="294"/>
      <c r="C146" s="294"/>
      <c r="D146" s="294"/>
      <c r="E146" s="351"/>
      <c r="F146" s="352"/>
      <c r="G146" s="351"/>
      <c r="H146" s="294"/>
      <c r="I146" s="294"/>
      <c r="J146" s="294"/>
      <c r="K146" s="294"/>
      <c r="L146" s="294"/>
      <c r="M146" s="294"/>
      <c r="N146" s="294"/>
      <c r="O146" s="294"/>
      <c r="P146" s="294"/>
      <c r="Q146" s="294"/>
      <c r="R146" s="294"/>
      <c r="S146" s="294"/>
      <c r="T146" s="294"/>
      <c r="U146" s="294"/>
      <c r="V146" s="294"/>
      <c r="W146" s="294"/>
      <c r="X146" s="294"/>
      <c r="Y146" s="294"/>
      <c r="Z146" s="294"/>
      <c r="AA146" s="294"/>
    </row>
    <row r="147" spans="1:27" s="335" customFormat="1">
      <c r="A147" s="294"/>
      <c r="B147" s="294"/>
      <c r="C147" s="294"/>
      <c r="D147" s="294"/>
      <c r="E147" s="351"/>
      <c r="F147" s="352"/>
      <c r="G147" s="351"/>
      <c r="H147" s="294"/>
      <c r="I147" s="294"/>
      <c r="J147" s="294"/>
      <c r="K147" s="294"/>
      <c r="L147" s="294"/>
      <c r="M147" s="294"/>
      <c r="N147" s="294"/>
      <c r="O147" s="294"/>
      <c r="P147" s="294"/>
      <c r="Q147" s="294"/>
      <c r="R147" s="294"/>
      <c r="S147" s="294"/>
      <c r="T147" s="294"/>
      <c r="U147" s="294"/>
      <c r="V147" s="294"/>
      <c r="W147" s="294"/>
      <c r="X147" s="294"/>
      <c r="Y147" s="294"/>
      <c r="Z147" s="294"/>
      <c r="AA147" s="294"/>
    </row>
    <row r="148" spans="1:27" s="335" customFormat="1">
      <c r="A148" s="294"/>
      <c r="B148" s="294"/>
      <c r="C148" s="294"/>
      <c r="D148" s="294"/>
      <c r="E148" s="351"/>
      <c r="F148" s="352"/>
      <c r="G148" s="351"/>
      <c r="H148" s="294"/>
      <c r="I148" s="294"/>
      <c r="J148" s="294"/>
      <c r="K148" s="294"/>
      <c r="L148" s="294"/>
      <c r="M148" s="294"/>
      <c r="N148" s="294"/>
      <c r="O148" s="294"/>
      <c r="P148" s="294"/>
      <c r="Q148" s="294"/>
      <c r="R148" s="294"/>
      <c r="S148" s="294"/>
      <c r="T148" s="294"/>
      <c r="U148" s="294"/>
      <c r="V148" s="294"/>
      <c r="W148" s="294"/>
      <c r="X148" s="294"/>
      <c r="Y148" s="294"/>
      <c r="Z148" s="294"/>
      <c r="AA148" s="294"/>
    </row>
    <row r="149" spans="1:27" s="335" customFormat="1">
      <c r="A149" s="294"/>
      <c r="B149" s="294"/>
      <c r="C149" s="294"/>
      <c r="D149" s="294"/>
      <c r="E149" s="351"/>
      <c r="F149" s="352"/>
      <c r="G149" s="351"/>
      <c r="H149" s="294"/>
      <c r="I149" s="294"/>
      <c r="J149" s="294"/>
      <c r="K149" s="294"/>
      <c r="L149" s="294"/>
      <c r="M149" s="294"/>
      <c r="N149" s="294"/>
      <c r="O149" s="294"/>
      <c r="P149" s="294"/>
      <c r="Q149" s="294"/>
      <c r="R149" s="294"/>
      <c r="S149" s="294"/>
      <c r="T149" s="294"/>
      <c r="U149" s="294"/>
      <c r="V149" s="294"/>
      <c r="W149" s="294"/>
      <c r="X149" s="294"/>
      <c r="Y149" s="294"/>
      <c r="Z149" s="294"/>
      <c r="AA149" s="294"/>
    </row>
    <row r="150" spans="1:27" s="335" customFormat="1">
      <c r="A150" s="294"/>
      <c r="B150" s="294"/>
      <c r="C150" s="294"/>
      <c r="D150" s="294"/>
      <c r="E150" s="351"/>
      <c r="F150" s="352"/>
      <c r="G150" s="351"/>
      <c r="H150" s="294"/>
      <c r="I150" s="294"/>
      <c r="J150" s="294"/>
      <c r="K150" s="294"/>
      <c r="L150" s="294"/>
      <c r="M150" s="294"/>
      <c r="N150" s="294"/>
      <c r="O150" s="294"/>
      <c r="P150" s="294"/>
      <c r="Q150" s="294"/>
      <c r="R150" s="294"/>
      <c r="S150" s="294"/>
      <c r="T150" s="294"/>
      <c r="U150" s="294"/>
      <c r="V150" s="294"/>
      <c r="W150" s="294"/>
      <c r="X150" s="294"/>
      <c r="Y150" s="294"/>
      <c r="Z150" s="294"/>
      <c r="AA150" s="294"/>
    </row>
    <row r="151" spans="1:27" s="335" customFormat="1">
      <c r="A151" s="294"/>
      <c r="B151" s="294"/>
      <c r="C151" s="294"/>
      <c r="D151" s="294"/>
      <c r="E151" s="351"/>
      <c r="F151" s="352"/>
      <c r="G151" s="351"/>
      <c r="H151" s="294"/>
      <c r="I151" s="294"/>
      <c r="J151" s="294"/>
      <c r="K151" s="294"/>
      <c r="L151" s="294"/>
      <c r="M151" s="294"/>
      <c r="N151" s="294"/>
      <c r="O151" s="294"/>
      <c r="P151" s="294"/>
      <c r="Q151" s="294"/>
      <c r="R151" s="294"/>
      <c r="S151" s="294"/>
      <c r="T151" s="294"/>
      <c r="U151" s="294"/>
      <c r="V151" s="294"/>
      <c r="W151" s="294"/>
      <c r="X151" s="294"/>
      <c r="Y151" s="294"/>
      <c r="Z151" s="294"/>
      <c r="AA151" s="294"/>
    </row>
    <row r="152" spans="1:27" s="335" customFormat="1">
      <c r="A152" s="294"/>
      <c r="B152" s="294"/>
      <c r="C152" s="294"/>
      <c r="D152" s="294"/>
      <c r="E152" s="351"/>
      <c r="F152" s="352"/>
      <c r="G152" s="351"/>
      <c r="H152" s="294"/>
      <c r="I152" s="294"/>
      <c r="J152" s="294"/>
      <c r="K152" s="294"/>
      <c r="L152" s="294"/>
      <c r="M152" s="294"/>
      <c r="N152" s="294"/>
      <c r="O152" s="294"/>
      <c r="P152" s="294"/>
      <c r="Q152" s="294"/>
      <c r="R152" s="294"/>
      <c r="S152" s="294"/>
      <c r="T152" s="294"/>
      <c r="U152" s="294"/>
      <c r="V152" s="294"/>
      <c r="W152" s="294"/>
      <c r="X152" s="294"/>
      <c r="Y152" s="294"/>
      <c r="Z152" s="294"/>
      <c r="AA152" s="294"/>
    </row>
    <row r="153" spans="1:27" s="335" customFormat="1">
      <c r="A153" s="294"/>
      <c r="B153" s="294"/>
      <c r="C153" s="294"/>
      <c r="D153" s="294"/>
      <c r="E153" s="351"/>
      <c r="F153" s="352"/>
      <c r="G153" s="351"/>
      <c r="H153" s="294"/>
      <c r="I153" s="294"/>
      <c r="J153" s="294"/>
      <c r="K153" s="294"/>
      <c r="L153" s="294"/>
      <c r="M153" s="294"/>
      <c r="N153" s="294"/>
      <c r="O153" s="294"/>
      <c r="P153" s="294"/>
      <c r="Q153" s="294"/>
      <c r="R153" s="294"/>
      <c r="S153" s="294"/>
      <c r="T153" s="294"/>
      <c r="U153" s="294"/>
      <c r="V153" s="294"/>
      <c r="W153" s="294"/>
      <c r="X153" s="294"/>
      <c r="Y153" s="294"/>
      <c r="Z153" s="294"/>
      <c r="AA153" s="294"/>
    </row>
    <row r="154" spans="1:27" s="335" customFormat="1">
      <c r="A154" s="294"/>
      <c r="B154" s="294"/>
      <c r="C154" s="294"/>
      <c r="D154" s="294"/>
      <c r="E154" s="351"/>
      <c r="F154" s="352"/>
      <c r="G154" s="351"/>
      <c r="H154" s="294"/>
      <c r="I154" s="294"/>
      <c r="J154" s="294"/>
      <c r="K154" s="294"/>
      <c r="L154" s="294"/>
      <c r="M154" s="294"/>
      <c r="N154" s="294"/>
      <c r="O154" s="294"/>
      <c r="P154" s="294"/>
      <c r="Q154" s="294"/>
      <c r="R154" s="294"/>
      <c r="S154" s="294"/>
      <c r="T154" s="294"/>
      <c r="U154" s="294"/>
      <c r="V154" s="294"/>
      <c r="W154" s="294"/>
      <c r="X154" s="294"/>
      <c r="Y154" s="294"/>
      <c r="Z154" s="294"/>
      <c r="AA154" s="294"/>
    </row>
    <row r="155" spans="1:27" s="335" customFormat="1">
      <c r="A155" s="294"/>
      <c r="B155" s="294"/>
      <c r="C155" s="294"/>
      <c r="D155" s="294"/>
      <c r="E155" s="351"/>
      <c r="F155" s="352"/>
      <c r="G155" s="351"/>
      <c r="H155" s="294"/>
      <c r="I155" s="294"/>
      <c r="J155" s="294"/>
      <c r="K155" s="294"/>
      <c r="L155" s="294"/>
      <c r="M155" s="294"/>
      <c r="N155" s="294"/>
      <c r="O155" s="294"/>
      <c r="P155" s="294"/>
      <c r="Q155" s="294"/>
      <c r="R155" s="294"/>
      <c r="S155" s="294"/>
      <c r="T155" s="294"/>
      <c r="U155" s="294"/>
      <c r="V155" s="294"/>
      <c r="W155" s="294"/>
      <c r="X155" s="294"/>
      <c r="Y155" s="294"/>
      <c r="Z155" s="294"/>
      <c r="AA155" s="294"/>
    </row>
    <row r="156" spans="1:27" s="335" customFormat="1">
      <c r="A156" s="294"/>
      <c r="B156" s="294"/>
      <c r="C156" s="294"/>
      <c r="D156" s="294"/>
      <c r="E156" s="351"/>
      <c r="F156" s="352"/>
      <c r="G156" s="351"/>
      <c r="H156" s="294"/>
      <c r="I156" s="294"/>
      <c r="J156" s="294"/>
      <c r="K156" s="294"/>
      <c r="L156" s="294"/>
      <c r="M156" s="294"/>
      <c r="N156" s="294"/>
      <c r="O156" s="294"/>
      <c r="P156" s="294"/>
      <c r="Q156" s="294"/>
      <c r="R156" s="294"/>
      <c r="S156" s="294"/>
      <c r="T156" s="294"/>
      <c r="U156" s="294"/>
      <c r="V156" s="294"/>
      <c r="W156" s="294"/>
      <c r="X156" s="294"/>
      <c r="Y156" s="294"/>
      <c r="Z156" s="294"/>
      <c r="AA156" s="294"/>
    </row>
    <row r="157" spans="1:27" s="335" customFormat="1">
      <c r="A157" s="294"/>
      <c r="B157" s="294"/>
      <c r="C157" s="294"/>
      <c r="D157" s="294"/>
      <c r="E157" s="351"/>
      <c r="F157" s="352"/>
      <c r="G157" s="351"/>
      <c r="H157" s="294"/>
      <c r="I157" s="294"/>
      <c r="J157" s="294"/>
      <c r="K157" s="294"/>
      <c r="L157" s="294"/>
      <c r="M157" s="294"/>
      <c r="N157" s="294"/>
      <c r="O157" s="294"/>
      <c r="P157" s="294"/>
      <c r="Q157" s="294"/>
      <c r="R157" s="294"/>
      <c r="S157" s="294"/>
      <c r="T157" s="294"/>
      <c r="U157" s="294"/>
      <c r="V157" s="294"/>
      <c r="W157" s="294"/>
      <c r="X157" s="294"/>
      <c r="Y157" s="294"/>
      <c r="Z157" s="294"/>
      <c r="AA157" s="294"/>
    </row>
    <row r="158" spans="1:27" s="335" customFormat="1">
      <c r="A158" s="294"/>
      <c r="B158" s="294"/>
      <c r="C158" s="294"/>
      <c r="D158" s="294"/>
      <c r="E158" s="351"/>
      <c r="F158" s="352"/>
      <c r="G158" s="351"/>
      <c r="H158" s="294"/>
      <c r="I158" s="294"/>
      <c r="J158" s="294"/>
      <c r="K158" s="294"/>
      <c r="L158" s="294"/>
      <c r="M158" s="294"/>
      <c r="N158" s="294"/>
      <c r="O158" s="294"/>
      <c r="P158" s="294"/>
      <c r="Q158" s="294"/>
      <c r="R158" s="294"/>
      <c r="S158" s="294"/>
      <c r="T158" s="294"/>
      <c r="U158" s="294"/>
      <c r="V158" s="294"/>
      <c r="W158" s="294"/>
      <c r="X158" s="294"/>
      <c r="Y158" s="294"/>
      <c r="Z158" s="294"/>
      <c r="AA158" s="294"/>
    </row>
    <row r="159" spans="1:27" s="335" customFormat="1">
      <c r="A159" s="294"/>
      <c r="B159" s="294"/>
      <c r="C159" s="294"/>
      <c r="D159" s="294"/>
      <c r="E159" s="351"/>
      <c r="F159" s="352"/>
      <c r="G159" s="351"/>
      <c r="H159" s="294"/>
      <c r="I159" s="294"/>
      <c r="J159" s="294"/>
      <c r="K159" s="294"/>
      <c r="L159" s="294"/>
      <c r="M159" s="294"/>
      <c r="N159" s="294"/>
      <c r="O159" s="294"/>
      <c r="P159" s="294"/>
      <c r="Q159" s="294"/>
      <c r="R159" s="294"/>
      <c r="S159" s="294"/>
      <c r="T159" s="294"/>
      <c r="U159" s="294"/>
      <c r="V159" s="294"/>
      <c r="W159" s="294"/>
      <c r="X159" s="294"/>
      <c r="Y159" s="294"/>
      <c r="Z159" s="294"/>
      <c r="AA159" s="294"/>
    </row>
    <row r="160" spans="1:27" s="335" customFormat="1">
      <c r="A160" s="294"/>
      <c r="B160" s="294"/>
      <c r="C160" s="294"/>
      <c r="D160" s="294"/>
      <c r="E160" s="351"/>
      <c r="F160" s="352"/>
      <c r="G160" s="351"/>
      <c r="H160" s="294"/>
      <c r="I160" s="294"/>
      <c r="J160" s="294"/>
      <c r="K160" s="294"/>
      <c r="L160" s="294"/>
      <c r="M160" s="294"/>
      <c r="N160" s="294"/>
      <c r="O160" s="294"/>
      <c r="P160" s="294"/>
      <c r="Q160" s="294"/>
      <c r="R160" s="294"/>
      <c r="S160" s="294"/>
      <c r="T160" s="294"/>
      <c r="U160" s="294"/>
      <c r="V160" s="294"/>
      <c r="W160" s="294"/>
      <c r="X160" s="294"/>
      <c r="Y160" s="294"/>
      <c r="Z160" s="294"/>
      <c r="AA160" s="294"/>
    </row>
    <row r="161" spans="1:27" s="335" customFormat="1">
      <c r="A161" s="294"/>
      <c r="B161" s="294"/>
      <c r="C161" s="294"/>
      <c r="D161" s="294"/>
      <c r="E161" s="351"/>
      <c r="F161" s="352"/>
      <c r="G161" s="351"/>
      <c r="H161" s="294"/>
      <c r="I161" s="294"/>
      <c r="J161" s="294"/>
      <c r="K161" s="294"/>
      <c r="L161" s="294"/>
      <c r="M161" s="294"/>
      <c r="N161" s="294"/>
      <c r="O161" s="294"/>
      <c r="P161" s="294"/>
      <c r="Q161" s="294"/>
      <c r="R161" s="294"/>
      <c r="S161" s="294"/>
      <c r="T161" s="294"/>
      <c r="U161" s="294"/>
      <c r="V161" s="294"/>
      <c r="W161" s="294"/>
      <c r="X161" s="294"/>
      <c r="Y161" s="294"/>
      <c r="Z161" s="294"/>
      <c r="AA161" s="294"/>
    </row>
    <row r="162" spans="1:27" s="335" customFormat="1">
      <c r="A162" s="294"/>
      <c r="B162" s="294"/>
      <c r="C162" s="294"/>
      <c r="D162" s="294"/>
      <c r="E162" s="351"/>
      <c r="F162" s="352"/>
      <c r="G162" s="351"/>
      <c r="H162" s="294"/>
      <c r="I162" s="294"/>
      <c r="J162" s="294"/>
      <c r="K162" s="294"/>
      <c r="L162" s="294"/>
      <c r="M162" s="294"/>
      <c r="N162" s="294"/>
      <c r="O162" s="294"/>
      <c r="P162" s="294"/>
      <c r="Q162" s="294"/>
      <c r="R162" s="294"/>
      <c r="S162" s="294"/>
      <c r="T162" s="294"/>
      <c r="U162" s="294"/>
      <c r="V162" s="294"/>
      <c r="W162" s="294"/>
      <c r="X162" s="294"/>
      <c r="Y162" s="294"/>
      <c r="Z162" s="294"/>
      <c r="AA162" s="294"/>
    </row>
    <row r="163" spans="1:27" s="335" customFormat="1">
      <c r="A163" s="294"/>
      <c r="B163" s="294"/>
      <c r="C163" s="294"/>
      <c r="D163" s="294"/>
      <c r="E163" s="351"/>
      <c r="F163" s="352"/>
      <c r="G163" s="351"/>
      <c r="H163" s="294"/>
      <c r="I163" s="294"/>
      <c r="J163" s="294"/>
      <c r="K163" s="294"/>
      <c r="L163" s="294"/>
      <c r="M163" s="294"/>
      <c r="N163" s="294"/>
      <c r="O163" s="294"/>
      <c r="P163" s="294"/>
      <c r="Q163" s="294"/>
      <c r="R163" s="294"/>
      <c r="S163" s="294"/>
      <c r="T163" s="294"/>
      <c r="U163" s="294"/>
      <c r="V163" s="294"/>
      <c r="W163" s="294"/>
      <c r="X163" s="294"/>
      <c r="Y163" s="294"/>
      <c r="Z163" s="294"/>
      <c r="AA163" s="294"/>
    </row>
    <row r="164" spans="1:27" s="335" customFormat="1">
      <c r="A164" s="294"/>
      <c r="B164" s="294"/>
      <c r="C164" s="294"/>
      <c r="D164" s="294"/>
      <c r="E164" s="351"/>
      <c r="F164" s="352"/>
      <c r="G164" s="351"/>
      <c r="H164" s="294"/>
      <c r="I164" s="294"/>
      <c r="J164" s="294"/>
      <c r="K164" s="294"/>
      <c r="L164" s="294"/>
      <c r="M164" s="294"/>
      <c r="N164" s="294"/>
      <c r="O164" s="294"/>
      <c r="P164" s="294"/>
      <c r="Q164" s="294"/>
      <c r="R164" s="294"/>
      <c r="S164" s="294"/>
      <c r="T164" s="294"/>
      <c r="U164" s="294"/>
      <c r="V164" s="294"/>
      <c r="W164" s="294"/>
      <c r="X164" s="294"/>
      <c r="Y164" s="294"/>
      <c r="Z164" s="294"/>
      <c r="AA164" s="294"/>
    </row>
    <row r="165" spans="1:27" s="335" customFormat="1">
      <c r="A165" s="294"/>
      <c r="B165" s="294"/>
      <c r="C165" s="294"/>
      <c r="D165" s="294"/>
      <c r="E165" s="351"/>
      <c r="F165" s="352"/>
      <c r="G165" s="351"/>
      <c r="H165" s="294"/>
      <c r="I165" s="294"/>
      <c r="J165" s="294"/>
      <c r="K165" s="294"/>
      <c r="L165" s="294"/>
      <c r="M165" s="294"/>
      <c r="N165" s="294"/>
      <c r="O165" s="294"/>
      <c r="P165" s="294"/>
      <c r="Q165" s="294"/>
      <c r="R165" s="294"/>
      <c r="S165" s="294"/>
      <c r="T165" s="294"/>
      <c r="U165" s="294"/>
      <c r="V165" s="294"/>
      <c r="W165" s="294"/>
      <c r="X165" s="294"/>
      <c r="Y165" s="294"/>
      <c r="Z165" s="294"/>
      <c r="AA165" s="294"/>
    </row>
    <row r="166" spans="1:27" s="335" customFormat="1">
      <c r="A166" s="294"/>
      <c r="B166" s="294"/>
      <c r="C166" s="294"/>
      <c r="D166" s="294"/>
      <c r="E166" s="351"/>
      <c r="F166" s="352"/>
      <c r="G166" s="351"/>
      <c r="H166" s="294"/>
      <c r="I166" s="294"/>
      <c r="J166" s="294"/>
      <c r="K166" s="294"/>
      <c r="L166" s="294"/>
      <c r="M166" s="294"/>
      <c r="N166" s="294"/>
      <c r="O166" s="294"/>
      <c r="P166" s="294"/>
      <c r="Q166" s="294"/>
      <c r="R166" s="294"/>
      <c r="S166" s="294"/>
      <c r="T166" s="294"/>
      <c r="U166" s="294"/>
      <c r="V166" s="294"/>
      <c r="W166" s="294"/>
      <c r="X166" s="294"/>
      <c r="Y166" s="294"/>
      <c r="Z166" s="294"/>
      <c r="AA166" s="294"/>
    </row>
    <row r="167" spans="1:27">
      <c r="E167" s="351"/>
      <c r="G167" s="351"/>
      <c r="H167" s="294"/>
    </row>
    <row r="168" spans="1:27">
      <c r="E168" s="351"/>
      <c r="G168" s="351"/>
      <c r="H168" s="294"/>
    </row>
    <row r="169" spans="1:27">
      <c r="E169" s="351"/>
      <c r="G169" s="351"/>
      <c r="H169" s="294"/>
    </row>
    <row r="170" spans="1:27">
      <c r="E170" s="351"/>
      <c r="G170" s="351"/>
      <c r="H170" s="294"/>
    </row>
    <row r="171" spans="1:27">
      <c r="E171" s="351"/>
      <c r="G171" s="351"/>
      <c r="H171" s="294"/>
    </row>
    <row r="172" spans="1:27">
      <c r="E172" s="351"/>
      <c r="G172" s="351"/>
      <c r="H172" s="294"/>
    </row>
    <row r="173" spans="1:27">
      <c r="E173" s="351"/>
      <c r="G173" s="351"/>
      <c r="H173" s="294"/>
    </row>
    <row r="174" spans="1:27">
      <c r="E174" s="351"/>
      <c r="G174" s="351"/>
      <c r="H174" s="294"/>
    </row>
  </sheetData>
  <sheetProtection algorithmName="SHA-512" hashValue="+LVSpczXZzSRmTazY9DIFsBitSfvXPnrkhGaby1Xt7Sds8Gnb73XF3plVwmTGMh04MLtAActxDyP3JlatOTdhw==" saltValue="4cabySBcbx+22TBESbdyJQ==" spinCount="100000" sheet="1" objects="1" scenarios="1"/>
  <mergeCells count="100">
    <mergeCell ref="C12:D12"/>
    <mergeCell ref="C13:D13"/>
    <mergeCell ref="C14:D14"/>
    <mergeCell ref="C15:D15"/>
    <mergeCell ref="C3:D3"/>
    <mergeCell ref="C4:D4"/>
    <mergeCell ref="C5:D5"/>
    <mergeCell ref="B1:D2"/>
    <mergeCell ref="F3:H3"/>
    <mergeCell ref="F6:F7"/>
    <mergeCell ref="C10:D10"/>
    <mergeCell ref="C11:D11"/>
    <mergeCell ref="G6:H7"/>
    <mergeCell ref="C6:D6"/>
    <mergeCell ref="C7:D7"/>
    <mergeCell ref="F28:H28"/>
    <mergeCell ref="B29:B31"/>
    <mergeCell ref="F29:H29"/>
    <mergeCell ref="F31:H31"/>
    <mergeCell ref="C20:C26"/>
    <mergeCell ref="G30:H30"/>
    <mergeCell ref="F19:H19"/>
    <mergeCell ref="B20:B26"/>
    <mergeCell ref="F20:H20"/>
    <mergeCell ref="F21:H21"/>
    <mergeCell ref="F22:H22"/>
    <mergeCell ref="F23:H23"/>
    <mergeCell ref="F24:H24"/>
    <mergeCell ref="F25:H25"/>
    <mergeCell ref="F26:H26"/>
    <mergeCell ref="B34:B41"/>
    <mergeCell ref="F34:H34"/>
    <mergeCell ref="F35:H35"/>
    <mergeCell ref="F36:H36"/>
    <mergeCell ref="F37:H37"/>
    <mergeCell ref="F38:H38"/>
    <mergeCell ref="F39:H39"/>
    <mergeCell ref="F40:H40"/>
    <mergeCell ref="F41:H41"/>
    <mergeCell ref="B55:B56"/>
    <mergeCell ref="F55:H55"/>
    <mergeCell ref="C55:C56"/>
    <mergeCell ref="B42:B46"/>
    <mergeCell ref="F42:H42"/>
    <mergeCell ref="F43:H43"/>
    <mergeCell ref="F44:H44"/>
    <mergeCell ref="F45:H45"/>
    <mergeCell ref="F46:H46"/>
    <mergeCell ref="B47:B52"/>
    <mergeCell ref="F47:H47"/>
    <mergeCell ref="F48:H48"/>
    <mergeCell ref="F49:H49"/>
    <mergeCell ref="F50:H50"/>
    <mergeCell ref="F51:H51"/>
    <mergeCell ref="F52:H52"/>
    <mergeCell ref="B71:D71"/>
    <mergeCell ref="B60:B61"/>
    <mergeCell ref="F60:H60"/>
    <mergeCell ref="F61:H61"/>
    <mergeCell ref="F62:H62"/>
    <mergeCell ref="B64:D64"/>
    <mergeCell ref="B65:D65"/>
    <mergeCell ref="B66:D66"/>
    <mergeCell ref="B67:D67"/>
    <mergeCell ref="B68:D68"/>
    <mergeCell ref="B69:H69"/>
    <mergeCell ref="B70:D70"/>
    <mergeCell ref="B84:H84"/>
    <mergeCell ref="B86:D86"/>
    <mergeCell ref="B88:D88"/>
    <mergeCell ref="B89:B92"/>
    <mergeCell ref="B81:D81"/>
    <mergeCell ref="B17:B18"/>
    <mergeCell ref="C17:C18"/>
    <mergeCell ref="D18:H18"/>
    <mergeCell ref="B95:D95"/>
    <mergeCell ref="C94:H94"/>
    <mergeCell ref="E95:H99"/>
    <mergeCell ref="B96:D96"/>
    <mergeCell ref="B97:D99"/>
    <mergeCell ref="B93:D93"/>
    <mergeCell ref="B73:D73"/>
    <mergeCell ref="B74:D74"/>
    <mergeCell ref="B76:D76"/>
    <mergeCell ref="B77:D77"/>
    <mergeCell ref="B78:D78"/>
    <mergeCell ref="B80:D80"/>
    <mergeCell ref="B83:H83"/>
    <mergeCell ref="C58:C59"/>
    <mergeCell ref="C60:C61"/>
    <mergeCell ref="C29:C31"/>
    <mergeCell ref="C34:C41"/>
    <mergeCell ref="C42:C46"/>
    <mergeCell ref="C47:C52"/>
    <mergeCell ref="C53:C54"/>
    <mergeCell ref="F58:H58"/>
    <mergeCell ref="F59:H59"/>
    <mergeCell ref="F53:H53"/>
    <mergeCell ref="F54:H54"/>
    <mergeCell ref="F33:H33"/>
  </mergeCells>
  <dataValidations count="1">
    <dataValidation type="list" allowBlank="1" showErrorMessage="1" error="Please type either Yes or No." sqref="E29:E31 E20:E26 E34:E62" xr:uid="{09636404-3523-4E11-9095-25D9044EC880}">
      <formula1>"Yes,No"</formula1>
    </dataValidation>
  </dataValidations>
  <pageMargins left="0.25" right="0.25" top="0.75" bottom="0.75" header="0.3" footer="0.3"/>
  <pageSetup scale="23"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6ED1-AEE9-432C-B49C-F68B74FF59F9}">
  <sheetPr>
    <tabColor theme="9" tint="0.59999389629810485"/>
  </sheetPr>
  <dimension ref="A1:AL1245"/>
  <sheetViews>
    <sheetView topLeftCell="A358" zoomScale="90" zoomScaleNormal="90" workbookViewId="0">
      <selection activeCell="A135" sqref="A135:Q135"/>
    </sheetView>
  </sheetViews>
  <sheetFormatPr baseColWidth="10" defaultColWidth="9.140625" defaultRowHeight="15"/>
  <cols>
    <col min="1" max="1" width="35" customWidth="1"/>
    <col min="2" max="2" width="47.28515625" customWidth="1"/>
    <col min="3" max="3" width="23.85546875" customWidth="1"/>
    <col min="4" max="4" width="22.42578125" customWidth="1"/>
    <col min="5" max="5" width="27.5703125" customWidth="1"/>
    <col min="6" max="6" width="23.140625" customWidth="1"/>
    <col min="7" max="7" width="18.42578125" customWidth="1"/>
    <col min="8" max="8" width="19.5703125" customWidth="1"/>
    <col min="9" max="9" width="10.5703125" bestFit="1" customWidth="1"/>
    <col min="10" max="10" width="20.85546875" customWidth="1"/>
    <col min="11" max="11" width="20.140625" bestFit="1" customWidth="1"/>
    <col min="12" max="12" width="14.42578125" customWidth="1"/>
    <col min="13" max="13" width="16" customWidth="1"/>
    <col min="14" max="14" width="26.140625" customWidth="1"/>
    <col min="15" max="15" width="18" customWidth="1"/>
    <col min="16" max="16" width="19.5703125" customWidth="1"/>
    <col min="17" max="17" width="29.5703125" customWidth="1"/>
    <col min="21" max="21" width="19" style="1440" customWidth="1"/>
    <col min="22" max="22" width="20" style="7" customWidth="1"/>
    <col min="23" max="23" width="21.85546875" style="7" customWidth="1"/>
    <col min="25" max="26" width="26.140625" customWidth="1"/>
    <col min="27" max="27" width="29.42578125" customWidth="1"/>
    <col min="28" max="28" width="26.85546875" customWidth="1"/>
    <col min="29" max="29" width="21.85546875" customWidth="1"/>
    <col min="34" max="34" width="21" customWidth="1"/>
    <col min="35" max="35" width="23.42578125" customWidth="1"/>
  </cols>
  <sheetData>
    <row r="1" spans="1:23" ht="18.75">
      <c r="U1" s="1440" t="s">
        <v>1288</v>
      </c>
      <c r="V1" s="1421"/>
      <c r="W1" s="1421"/>
    </row>
    <row r="2" spans="1:23" ht="23.25">
      <c r="A2" s="1802" t="s">
        <v>1289</v>
      </c>
      <c r="B2" s="1803"/>
      <c r="C2" s="1803"/>
      <c r="D2" s="1803"/>
      <c r="E2" s="1803"/>
      <c r="F2" s="1803"/>
      <c r="G2" s="1803"/>
      <c r="H2" s="1803"/>
      <c r="I2" s="1803"/>
      <c r="J2" s="1803"/>
      <c r="K2" s="1803"/>
      <c r="L2" s="1803"/>
      <c r="M2" s="1803"/>
      <c r="N2" s="1803"/>
      <c r="O2" s="1803"/>
      <c r="P2" s="1803"/>
      <c r="Q2" s="1804"/>
    </row>
    <row r="3" spans="1:23" ht="15.75" thickBot="1">
      <c r="A3" s="1798" t="s">
        <v>2462</v>
      </c>
      <c r="B3" s="1798"/>
      <c r="C3" s="1798"/>
      <c r="D3" s="1798"/>
      <c r="E3" s="1798"/>
      <c r="F3" s="1798"/>
      <c r="G3" s="1798"/>
      <c r="H3" s="1798"/>
      <c r="I3" s="1798"/>
    </row>
    <row r="4" spans="1:23" ht="39.75" thickBot="1">
      <c r="A4" s="579" t="s">
        <v>1290</v>
      </c>
      <c r="B4" s="580" t="s">
        <v>1291</v>
      </c>
      <c r="C4" s="581" t="s">
        <v>1292</v>
      </c>
    </row>
    <row r="5" spans="1:23">
      <c r="A5" s="582" t="s">
        <v>591</v>
      </c>
      <c r="B5" s="583" t="s">
        <v>96</v>
      </c>
      <c r="C5" s="1571">
        <v>1</v>
      </c>
    </row>
    <row r="6" spans="1:23">
      <c r="A6" s="585" t="s">
        <v>592</v>
      </c>
      <c r="B6" s="586" t="s">
        <v>1293</v>
      </c>
      <c r="C6" s="1572">
        <v>27.9</v>
      </c>
      <c r="D6" t="s">
        <v>1294</v>
      </c>
      <c r="U6" s="1440" t="s">
        <v>1295</v>
      </c>
    </row>
    <row r="7" spans="1:23">
      <c r="A7" s="585" t="s">
        <v>1296</v>
      </c>
      <c r="B7" s="588" t="s">
        <v>1297</v>
      </c>
      <c r="C7" s="1572">
        <v>273</v>
      </c>
      <c r="U7" s="1440" t="s">
        <v>1295</v>
      </c>
    </row>
    <row r="8" spans="1:23">
      <c r="U8" s="1440" t="s">
        <v>1295</v>
      </c>
    </row>
    <row r="9" spans="1:23">
      <c r="A9" s="213"/>
    </row>
    <row r="10" spans="1:23">
      <c r="A10" s="4"/>
    </row>
    <row r="11" spans="1:23" ht="31.5">
      <c r="A11" s="1827" t="s">
        <v>1299</v>
      </c>
      <c r="B11" s="1828"/>
      <c r="C11" s="1828"/>
      <c r="D11" s="1828"/>
      <c r="E11" s="1828"/>
      <c r="F11" s="1828"/>
      <c r="G11" s="1828"/>
      <c r="H11" s="1828"/>
      <c r="I11" s="1828"/>
      <c r="J11" s="1828"/>
      <c r="K11" s="1828"/>
      <c r="L11" s="1828"/>
      <c r="M11" s="1828"/>
      <c r="N11" s="1828"/>
      <c r="O11" s="1828"/>
      <c r="P11" s="1828"/>
      <c r="Q11" s="1829"/>
    </row>
    <row r="12" spans="1:23" ht="15.75" thickBot="1">
      <c r="C12" s="1255"/>
    </row>
    <row r="13" spans="1:23">
      <c r="A13" s="668" t="s">
        <v>1300</v>
      </c>
      <c r="B13" s="668" t="s">
        <v>1301</v>
      </c>
    </row>
    <row r="14" spans="1:23">
      <c r="A14" s="1257"/>
      <c r="B14" s="1257"/>
    </row>
    <row r="15" spans="1:23">
      <c r="A15" s="612" t="s">
        <v>1302</v>
      </c>
      <c r="B15" s="1392">
        <v>854.74</v>
      </c>
      <c r="C15" s="10" t="s">
        <v>1303</v>
      </c>
      <c r="H15" t="s">
        <v>1304</v>
      </c>
    </row>
    <row r="16" spans="1:23">
      <c r="A16" s="1258" t="s">
        <v>1305</v>
      </c>
      <c r="B16" s="1392">
        <v>982.16</v>
      </c>
      <c r="C16" s="10" t="s">
        <v>1306</v>
      </c>
    </row>
    <row r="17" spans="1:21">
      <c r="A17" s="1258"/>
      <c r="B17" s="1254"/>
      <c r="C17" s="10"/>
    </row>
    <row r="18" spans="1:21">
      <c r="A18" s="1258"/>
      <c r="B18" s="1254"/>
      <c r="C18" s="10"/>
    </row>
    <row r="19" spans="1:21" ht="23.25">
      <c r="A19" s="1802" t="s">
        <v>63</v>
      </c>
      <c r="B19" s="1803"/>
      <c r="C19" s="1803"/>
      <c r="D19" s="1803"/>
      <c r="E19" s="1803"/>
      <c r="F19" s="1803"/>
      <c r="G19" s="1803"/>
      <c r="H19" s="1803"/>
      <c r="I19" s="1803"/>
      <c r="J19" s="1803"/>
      <c r="K19" s="1873"/>
      <c r="L19" s="1873"/>
      <c r="M19" s="1873"/>
      <c r="N19" s="1873"/>
      <c r="O19" s="1873"/>
      <c r="P19" s="1873"/>
      <c r="Q19" s="1874"/>
    </row>
    <row r="20" spans="1:21" ht="15.75" thickBot="1">
      <c r="A20" s="589" t="s">
        <v>1307</v>
      </c>
    </row>
    <row r="21" spans="1:21">
      <c r="A21" s="1824" t="s">
        <v>1308</v>
      </c>
      <c r="B21" s="592" t="s">
        <v>1309</v>
      </c>
      <c r="C21" s="592" t="s">
        <v>1310</v>
      </c>
      <c r="D21" s="592" t="s">
        <v>1310</v>
      </c>
      <c r="E21" s="592" t="s">
        <v>1310</v>
      </c>
      <c r="F21" s="592" t="s">
        <v>1310</v>
      </c>
    </row>
    <row r="22" spans="1:21" ht="18">
      <c r="A22" s="1825"/>
      <c r="B22" s="593" t="s">
        <v>1311</v>
      </c>
      <c r="C22" s="593" t="s">
        <v>1312</v>
      </c>
      <c r="D22" s="593" t="s">
        <v>1312</v>
      </c>
      <c r="E22" s="593" t="s">
        <v>1312</v>
      </c>
      <c r="F22" s="593" t="s">
        <v>1312</v>
      </c>
    </row>
    <row r="23" spans="1:21" ht="18.75" thickBot="1">
      <c r="A23" s="1826"/>
      <c r="B23" s="594"/>
      <c r="C23" s="595" t="s">
        <v>1313</v>
      </c>
      <c r="D23" s="595" t="s">
        <v>1314</v>
      </c>
      <c r="E23" s="595" t="s">
        <v>1315</v>
      </c>
      <c r="F23" s="595" t="s">
        <v>1316</v>
      </c>
    </row>
    <row r="24" spans="1:21" ht="15.75" thickBot="1">
      <c r="A24" s="590" t="s">
        <v>1317</v>
      </c>
      <c r="B24" s="591">
        <v>3.9300000000000002E-2</v>
      </c>
      <c r="C24" s="591">
        <v>56.1</v>
      </c>
      <c r="D24" s="591">
        <v>1E-3</v>
      </c>
      <c r="E24" s="591">
        <v>1E-4</v>
      </c>
      <c r="F24" s="591">
        <f>C24+D24*$C$6+E24*$C$7</f>
        <v>56.155200000000001</v>
      </c>
      <c r="G24" s="7"/>
      <c r="U24" s="1440" t="s">
        <v>1318</v>
      </c>
    </row>
    <row r="25" spans="1:21" ht="15.75" thickBot="1">
      <c r="A25" s="590" t="s">
        <v>1319</v>
      </c>
      <c r="B25" s="591">
        <v>3.9300000000000002E-2</v>
      </c>
      <c r="C25" s="591">
        <v>57.6</v>
      </c>
      <c r="D25" s="591">
        <v>5.0000000000000001E-3</v>
      </c>
      <c r="E25" s="591">
        <v>1E-3</v>
      </c>
      <c r="F25" s="591">
        <f t="shared" ref="F25:F26" si="0">C25+D25*$C$6+E25*$C$7</f>
        <v>58.012500000000003</v>
      </c>
      <c r="G25" s="7"/>
      <c r="N25" s="3"/>
      <c r="U25" s="1440" t="s">
        <v>1320</v>
      </c>
    </row>
    <row r="26" spans="1:21" ht="15.75" thickBot="1">
      <c r="A26" s="590" t="s">
        <v>1321</v>
      </c>
      <c r="B26" s="591">
        <v>3.9300000000000002E-2</v>
      </c>
      <c r="C26" s="591">
        <v>63.1</v>
      </c>
      <c r="D26" s="591">
        <v>5.0000000000000001E-3</v>
      </c>
      <c r="E26" s="591">
        <v>1E-3</v>
      </c>
      <c r="F26" s="591">
        <f t="shared" si="0"/>
        <v>63.512500000000003</v>
      </c>
      <c r="G26" s="7"/>
      <c r="J26" s="1256"/>
      <c r="N26" s="3"/>
      <c r="U26" s="1440" t="s">
        <v>1320</v>
      </c>
    </row>
    <row r="27" spans="1:21" ht="15.75" thickBot="1">
      <c r="A27" s="590" t="s">
        <v>1322</v>
      </c>
      <c r="B27" s="591">
        <v>3.9300000000000002E-2</v>
      </c>
      <c r="C27" s="591">
        <v>51.4</v>
      </c>
      <c r="D27" s="591">
        <v>0.1</v>
      </c>
      <c r="E27" s="591">
        <v>0.03</v>
      </c>
      <c r="F27" s="591">
        <v>51.53</v>
      </c>
      <c r="G27" s="1439"/>
      <c r="N27" s="3"/>
      <c r="U27" s="1440" t="s">
        <v>1323</v>
      </c>
    </row>
    <row r="28" spans="1:21" ht="15.75" thickBot="1">
      <c r="A28" s="590" t="s">
        <v>1324</v>
      </c>
      <c r="B28" s="591">
        <v>6.2899999999999998E-2</v>
      </c>
      <c r="C28" s="591">
        <v>61.6</v>
      </c>
      <c r="D28" s="591">
        <v>5.0000000000000001E-3</v>
      </c>
      <c r="E28" s="591">
        <v>1E-4</v>
      </c>
      <c r="F28" s="591">
        <f>C28+D28*$C$6+E28*$C$7</f>
        <v>61.766799999999996</v>
      </c>
      <c r="G28" s="7"/>
      <c r="N28" s="3"/>
      <c r="U28" s="1440" t="s">
        <v>1320</v>
      </c>
    </row>
    <row r="29" spans="1:21" ht="15.75" thickBot="1">
      <c r="A29" s="590" t="s">
        <v>1325</v>
      </c>
      <c r="B29" s="591">
        <v>1.8100000000000002E-2</v>
      </c>
      <c r="C29" s="591">
        <v>107</v>
      </c>
      <c r="D29" s="591">
        <v>0.3</v>
      </c>
      <c r="E29" s="591">
        <v>1.4999999999999999E-4</v>
      </c>
      <c r="F29" s="591">
        <f>C29+D29*$C$6+E29*$C$7</f>
        <v>115.41095</v>
      </c>
      <c r="G29" s="7"/>
      <c r="N29" s="3"/>
      <c r="U29" s="1440" t="s">
        <v>1320</v>
      </c>
    </row>
    <row r="30" spans="1:21" ht="15.75" thickBot="1">
      <c r="A30" s="590" t="s">
        <v>1326</v>
      </c>
      <c r="B30" s="591">
        <v>4.0000000000000001E-3</v>
      </c>
      <c r="C30" s="591">
        <v>260</v>
      </c>
      <c r="D30" s="591">
        <v>5.0000000000000001E-3</v>
      </c>
      <c r="E30" s="591">
        <v>1E-4</v>
      </c>
      <c r="F30" s="591">
        <f>C30+D30*$C$6+E30*$C$7</f>
        <v>260.16680000000002</v>
      </c>
      <c r="G30" s="7"/>
      <c r="N30" s="3"/>
      <c r="U30" s="1440" t="s">
        <v>1320</v>
      </c>
    </row>
    <row r="31" spans="1:21" ht="15.75" hidden="1" thickBot="1">
      <c r="A31" s="590" t="s">
        <v>1327</v>
      </c>
      <c r="B31" s="591">
        <v>3.9E-2</v>
      </c>
      <c r="C31" s="591"/>
      <c r="D31" s="591"/>
      <c r="E31" s="591"/>
      <c r="F31" s="591">
        <f t="shared" ref="F31:F36" si="1">C31+D31*$C$6+E31*$C$7</f>
        <v>0</v>
      </c>
      <c r="G31" s="7"/>
      <c r="N31" s="3"/>
      <c r="U31" s="1440" t="s">
        <v>1320</v>
      </c>
    </row>
    <row r="32" spans="1:21" ht="15.75" thickBot="1">
      <c r="A32" s="590" t="s">
        <v>1328</v>
      </c>
      <c r="B32" s="591" t="s">
        <v>1329</v>
      </c>
      <c r="C32" s="591">
        <v>64.2</v>
      </c>
      <c r="D32" s="591">
        <v>0.01</v>
      </c>
      <c r="E32" s="591">
        <v>5.9999999999999995E-4</v>
      </c>
      <c r="F32" s="591">
        <f t="shared" si="1"/>
        <v>64.642799999999994</v>
      </c>
      <c r="G32" s="7"/>
      <c r="N32" s="3"/>
      <c r="U32" s="1440" t="s">
        <v>1320</v>
      </c>
    </row>
    <row r="33" spans="1:21" ht="30.75" thickBot="1">
      <c r="A33" s="590" t="s">
        <v>1330</v>
      </c>
      <c r="B33" s="591">
        <v>3.9E-2</v>
      </c>
      <c r="C33" s="591">
        <v>57.6</v>
      </c>
      <c r="D33" s="591">
        <v>5.0000000000000001E-3</v>
      </c>
      <c r="E33" s="591">
        <v>1.4999999999999999E-4</v>
      </c>
      <c r="F33" s="591">
        <f t="shared" si="1"/>
        <v>57.780450000000002</v>
      </c>
      <c r="G33" s="7"/>
      <c r="N33" s="3"/>
      <c r="R33" s="1262"/>
      <c r="U33" s="1440" t="s">
        <v>1320</v>
      </c>
    </row>
    <row r="34" spans="1:21" ht="30.75" thickBot="1">
      <c r="A34" s="590" t="s">
        <v>1331</v>
      </c>
      <c r="B34" s="591">
        <v>3.7699999999999997E-2</v>
      </c>
      <c r="C34" s="591">
        <v>54.6</v>
      </c>
      <c r="D34" s="591">
        <v>5.0000000000000001E-3</v>
      </c>
      <c r="E34" s="591">
        <v>1E-4</v>
      </c>
      <c r="F34" s="591">
        <f t="shared" si="1"/>
        <v>54.766799999999996</v>
      </c>
      <c r="G34" s="7"/>
      <c r="N34" s="3"/>
      <c r="P34" s="1429"/>
      <c r="R34" s="1262"/>
      <c r="U34" s="1440" t="s">
        <v>1320</v>
      </c>
    </row>
    <row r="35" spans="1:21" ht="30.75" thickBot="1">
      <c r="A35" s="590" t="s">
        <v>1332</v>
      </c>
      <c r="B35" s="591">
        <v>3.7699999999999997E-2</v>
      </c>
      <c r="C35" s="591">
        <v>54.6</v>
      </c>
      <c r="D35" s="591">
        <v>5.0000000000000001E-3</v>
      </c>
      <c r="E35" s="591">
        <v>1E-4</v>
      </c>
      <c r="F35" s="591">
        <f t="shared" si="1"/>
        <v>54.766799999999996</v>
      </c>
      <c r="G35" s="7"/>
      <c r="U35" s="1440" t="s">
        <v>1320</v>
      </c>
    </row>
    <row r="36" spans="1:21" ht="45.75" thickBot="1">
      <c r="A36" s="590" t="s">
        <v>1333</v>
      </c>
      <c r="B36" s="591">
        <v>3.6999999999999998E-2</v>
      </c>
      <c r="C36" s="591">
        <v>54.6</v>
      </c>
      <c r="D36" s="591">
        <v>5.0000000000000001E-3</v>
      </c>
      <c r="E36" s="591">
        <v>1E-4</v>
      </c>
      <c r="F36" s="591">
        <f t="shared" si="1"/>
        <v>54.766799999999996</v>
      </c>
      <c r="G36" s="7"/>
      <c r="N36" s="3"/>
      <c r="R36" s="1262"/>
      <c r="U36" s="1440" t="s">
        <v>1320</v>
      </c>
    </row>
    <row r="37" spans="1:21">
      <c r="A37" s="250" t="s">
        <v>1334</v>
      </c>
      <c r="B37" s="279"/>
      <c r="C37" s="279"/>
      <c r="N37" s="3"/>
      <c r="R37" s="1262"/>
    </row>
    <row r="38" spans="1:21">
      <c r="A38" s="10"/>
      <c r="N38" s="3"/>
      <c r="P38" s="7" t="s">
        <v>1335</v>
      </c>
      <c r="Q38" s="7"/>
      <c r="R38" s="1262"/>
    </row>
    <row r="39" spans="1:21" ht="15.75" thickBot="1">
      <c r="A39" s="589" t="s">
        <v>1336</v>
      </c>
      <c r="P39" s="7" t="s">
        <v>1337</v>
      </c>
      <c r="Q39" s="1428" t="s">
        <v>1338</v>
      </c>
    </row>
    <row r="40" spans="1:21" ht="59.25" customHeight="1">
      <c r="A40" s="1824" t="s">
        <v>55</v>
      </c>
      <c r="B40" s="1453" t="s">
        <v>1339</v>
      </c>
      <c r="C40" s="1453" t="s">
        <v>1340</v>
      </c>
    </row>
    <row r="41" spans="1:21" ht="15.75" thickBot="1">
      <c r="A41" s="1826"/>
      <c r="B41" s="1454"/>
      <c r="C41" s="1459"/>
    </row>
    <row r="42" spans="1:21" ht="15.75" thickBot="1">
      <c r="A42" s="590" t="s">
        <v>1341</v>
      </c>
      <c r="B42" s="1455">
        <v>0.19764999999999999</v>
      </c>
      <c r="C42" s="1460" t="s">
        <v>1342</v>
      </c>
    </row>
    <row r="43" spans="1:21" ht="15.75" thickBot="1">
      <c r="A43" t="s">
        <v>1343</v>
      </c>
      <c r="B43" s="1463">
        <v>9.289E-2</v>
      </c>
      <c r="C43" s="1461" t="s">
        <v>1342</v>
      </c>
    </row>
    <row r="44" spans="1:21" ht="15.75" thickBot="1">
      <c r="A44" s="590" t="s">
        <v>1344</v>
      </c>
      <c r="B44" s="1455">
        <v>0.41277000000000003</v>
      </c>
      <c r="C44" s="1461" t="s">
        <v>1342</v>
      </c>
    </row>
    <row r="45" spans="1:21" ht="17.25" customHeight="1" thickBot="1">
      <c r="A45" s="590" t="s">
        <v>68</v>
      </c>
      <c r="B45" s="1455">
        <v>0.18551000000000001</v>
      </c>
      <c r="C45" s="1461" t="s">
        <v>1342</v>
      </c>
    </row>
    <row r="46" spans="1:21" ht="15.75" thickBot="1">
      <c r="A46" s="590" t="s">
        <v>67</v>
      </c>
      <c r="B46" s="1455">
        <v>0.33660000000000001</v>
      </c>
      <c r="C46" s="1461" t="s">
        <v>1345</v>
      </c>
    </row>
    <row r="47" spans="1:21" ht="15.75" thickBot="1">
      <c r="A47" s="600" t="s">
        <v>1346</v>
      </c>
      <c r="B47" s="1455">
        <v>0.1817</v>
      </c>
      <c r="C47" s="1462" t="s">
        <v>1342</v>
      </c>
    </row>
    <row r="48" spans="1:21" ht="60">
      <c r="A48" s="1457" t="s">
        <v>1347</v>
      </c>
      <c r="B48" s="1458"/>
      <c r="C48" s="1322"/>
    </row>
    <row r="49" spans="1:21">
      <c r="A49" s="1456"/>
      <c r="B49" s="1344"/>
      <c r="C49" s="1344"/>
    </row>
    <row r="50" spans="1:21">
      <c r="A50" s="250"/>
      <c r="B50" s="279"/>
      <c r="C50" s="279"/>
    </row>
    <row r="51" spans="1:21">
      <c r="A51" s="10"/>
    </row>
    <row r="52" spans="1:21" ht="15" customHeight="1" thickBot="1">
      <c r="A52" s="589" t="s">
        <v>1348</v>
      </c>
    </row>
    <row r="53" spans="1:21" ht="30" customHeight="1">
      <c r="A53" s="1824" t="s">
        <v>1308</v>
      </c>
      <c r="B53" s="592" t="s">
        <v>1309</v>
      </c>
      <c r="C53" s="592" t="s">
        <v>1310</v>
      </c>
      <c r="D53" s="592" t="s">
        <v>1310</v>
      </c>
      <c r="E53" s="592" t="s">
        <v>1310</v>
      </c>
      <c r="F53" s="592" t="s">
        <v>1310</v>
      </c>
      <c r="G53" s="592" t="s">
        <v>1349</v>
      </c>
      <c r="H53" s="592" t="s">
        <v>1349</v>
      </c>
    </row>
    <row r="54" spans="1:21" ht="24">
      <c r="A54" s="1825"/>
      <c r="B54" s="593" t="s">
        <v>1350</v>
      </c>
      <c r="C54" s="593" t="s">
        <v>1312</v>
      </c>
      <c r="D54" s="593" t="s">
        <v>1312</v>
      </c>
      <c r="E54" s="593" t="s">
        <v>1312</v>
      </c>
      <c r="F54" s="593" t="s">
        <v>1312</v>
      </c>
      <c r="G54" s="593" t="s">
        <v>1351</v>
      </c>
      <c r="H54" s="593" t="s">
        <v>1352</v>
      </c>
      <c r="K54" s="616" t="s">
        <v>1353</v>
      </c>
    </row>
    <row r="55" spans="1:21" ht="24.75" thickBot="1">
      <c r="A55" s="1826"/>
      <c r="B55" s="594"/>
      <c r="C55" s="595" t="s">
        <v>1313</v>
      </c>
      <c r="D55" s="595" t="s">
        <v>1314</v>
      </c>
      <c r="E55" s="595" t="s">
        <v>1315</v>
      </c>
      <c r="F55" s="595" t="s">
        <v>1316</v>
      </c>
      <c r="G55" s="594"/>
      <c r="H55" s="594"/>
      <c r="J55" s="616" t="s">
        <v>1354</v>
      </c>
      <c r="K55" s="575">
        <v>0.52644000000000002</v>
      </c>
    </row>
    <row r="56" spans="1:21" ht="43.9" customHeight="1" thickBot="1">
      <c r="A56" s="686" t="s">
        <v>1355</v>
      </c>
      <c r="B56" s="1439" t="s">
        <v>1356</v>
      </c>
      <c r="C56" s="1439">
        <v>13.9</v>
      </c>
      <c r="D56" s="1439">
        <v>0</v>
      </c>
      <c r="E56" s="1439">
        <v>0</v>
      </c>
      <c r="F56" s="591">
        <f>C56+D56*$C$6+E56*$C$7</f>
        <v>13.9</v>
      </c>
      <c r="G56" s="591">
        <f>H56*277.7</f>
        <v>25.653925999999998</v>
      </c>
      <c r="H56" s="1390">
        <v>9.2380000000000004E-2</v>
      </c>
      <c r="U56" s="1440" t="s">
        <v>1320</v>
      </c>
    </row>
    <row r="57" spans="1:21" ht="15.75" thickBot="1">
      <c r="A57" s="686" t="s">
        <v>1357</v>
      </c>
      <c r="B57" s="1502" t="s">
        <v>1356</v>
      </c>
      <c r="C57" s="1439">
        <v>3.5</v>
      </c>
      <c r="D57" s="1439">
        <v>0</v>
      </c>
      <c r="E57" s="1439">
        <v>0</v>
      </c>
      <c r="F57" s="591">
        <f t="shared" ref="F57:F66" si="2">C57+D57*$C$6+E57*$C$7</f>
        <v>3.5</v>
      </c>
      <c r="G57" s="591">
        <v>18</v>
      </c>
      <c r="U57" s="1440" t="s">
        <v>1320</v>
      </c>
    </row>
    <row r="58" spans="1:21" ht="30.75" thickBot="1">
      <c r="A58" s="686" t="s">
        <v>1358</v>
      </c>
      <c r="B58" s="1502" t="s">
        <v>1359</v>
      </c>
      <c r="C58" s="1439">
        <v>73.3</v>
      </c>
      <c r="D58" s="1439">
        <v>0.01</v>
      </c>
      <c r="E58" s="1439">
        <v>5.9999999999999995E-4</v>
      </c>
      <c r="F58" s="591">
        <f t="shared" si="2"/>
        <v>73.742799999999988</v>
      </c>
      <c r="G58" s="591" t="s">
        <v>1360</v>
      </c>
      <c r="H58" s="1316"/>
      <c r="I58" t="s">
        <v>1361</v>
      </c>
      <c r="U58" s="1440" t="s">
        <v>1320</v>
      </c>
    </row>
    <row r="59" spans="1:21" ht="15.75" thickBot="1">
      <c r="A59" s="686" t="s">
        <v>1362</v>
      </c>
      <c r="B59" s="1502" t="s">
        <v>1363</v>
      </c>
      <c r="C59" s="1439">
        <v>77.7</v>
      </c>
      <c r="D59" s="1439">
        <v>0.01</v>
      </c>
      <c r="E59" s="1439">
        <v>5.9999999999999995E-4</v>
      </c>
      <c r="F59" s="591">
        <f t="shared" si="2"/>
        <v>78.142799999999994</v>
      </c>
      <c r="G59" s="591" t="s">
        <v>1360</v>
      </c>
      <c r="H59" s="1316"/>
      <c r="I59" t="s">
        <v>1361</v>
      </c>
      <c r="U59" s="1440" t="s">
        <v>1320</v>
      </c>
    </row>
    <row r="60" spans="1:21" ht="45.75" thickBot="1">
      <c r="A60" s="686" t="s">
        <v>1364</v>
      </c>
      <c r="B60" s="1502">
        <v>34.200000000000003</v>
      </c>
      <c r="C60" s="1439">
        <v>69.3</v>
      </c>
      <c r="D60" s="1439">
        <v>0.01</v>
      </c>
      <c r="E60" s="1439">
        <v>5.9999999999999995E-4</v>
      </c>
      <c r="F60" s="591">
        <f t="shared" si="2"/>
        <v>69.742799999999988</v>
      </c>
      <c r="G60" s="615">
        <f>H60*277.7</f>
        <v>17.05078</v>
      </c>
      <c r="H60" s="1390">
        <v>6.1400000000000003E-2</v>
      </c>
      <c r="I60" t="s">
        <v>1361</v>
      </c>
      <c r="U60" s="1440" t="s">
        <v>1320</v>
      </c>
    </row>
    <row r="61" spans="1:21" ht="15.75" thickBot="1">
      <c r="A61" s="686" t="s">
        <v>1365</v>
      </c>
      <c r="B61" s="1502">
        <v>33.1</v>
      </c>
      <c r="C61" s="1439">
        <v>70</v>
      </c>
      <c r="D61" s="1439">
        <v>0.01</v>
      </c>
      <c r="E61" s="1439">
        <v>5.9999999999999995E-4</v>
      </c>
      <c r="F61" s="591">
        <f t="shared" si="2"/>
        <v>70.442799999999991</v>
      </c>
      <c r="G61" s="615">
        <f>H61*277.7</f>
        <v>14.309880999999999</v>
      </c>
      <c r="H61" s="1390">
        <v>5.1529999999999999E-2</v>
      </c>
      <c r="I61" t="s">
        <v>1361</v>
      </c>
      <c r="U61" s="1440" t="s">
        <v>1320</v>
      </c>
    </row>
    <row r="62" spans="1:21" ht="30.75" thickBot="1">
      <c r="A62" s="686" t="s">
        <v>1366</v>
      </c>
      <c r="B62" s="1502" t="s">
        <v>1367</v>
      </c>
      <c r="C62" s="1439">
        <v>71.900000000000006</v>
      </c>
      <c r="D62" s="1439">
        <v>0.01</v>
      </c>
      <c r="E62" s="1439">
        <v>5.9999999999999995E-4</v>
      </c>
      <c r="F62" s="591">
        <f t="shared" si="2"/>
        <v>72.342799999999997</v>
      </c>
      <c r="G62" s="615">
        <f t="shared" ref="G62:G72" si="3">H62*277.7</f>
        <v>0</v>
      </c>
      <c r="H62" s="1316"/>
      <c r="I62" t="s">
        <v>1361</v>
      </c>
      <c r="U62" s="1440" t="s">
        <v>1320</v>
      </c>
    </row>
    <row r="63" spans="1:21" ht="30.75" thickBot="1">
      <c r="A63" s="686" t="s">
        <v>1368</v>
      </c>
      <c r="B63" s="1502">
        <v>36.799999999999997</v>
      </c>
      <c r="C63" s="1439">
        <v>71.5</v>
      </c>
      <c r="D63" s="1439">
        <v>0.01</v>
      </c>
      <c r="E63" s="1439">
        <v>5.9999999999999995E-4</v>
      </c>
      <c r="F63" s="591">
        <f t="shared" si="2"/>
        <v>71.942799999999991</v>
      </c>
      <c r="G63" s="615">
        <f t="shared" si="3"/>
        <v>17.364581000000001</v>
      </c>
      <c r="H63" s="1390">
        <v>6.2530000000000002E-2</v>
      </c>
      <c r="I63" t="s">
        <v>1361</v>
      </c>
      <c r="U63" s="1440" t="s">
        <v>1320</v>
      </c>
    </row>
    <row r="64" spans="1:21" ht="24" customHeight="1" thickBot="1">
      <c r="A64" s="686" t="s">
        <v>1369</v>
      </c>
      <c r="B64" s="1502" t="s">
        <v>1370</v>
      </c>
      <c r="C64" s="1439"/>
      <c r="D64" s="1439"/>
      <c r="E64" s="1439"/>
      <c r="F64" s="591">
        <f t="shared" si="2"/>
        <v>0</v>
      </c>
      <c r="G64" s="615">
        <f t="shared" si="3"/>
        <v>0</v>
      </c>
      <c r="H64" s="1316"/>
      <c r="U64" s="1440" t="s">
        <v>1320</v>
      </c>
    </row>
    <row r="65" spans="1:21" ht="15.75" thickBot="1">
      <c r="A65" s="686" t="s">
        <v>1371</v>
      </c>
      <c r="B65" s="1502">
        <v>38.6</v>
      </c>
      <c r="C65" s="1439">
        <v>74.099999999999994</v>
      </c>
      <c r="D65" s="1439">
        <v>0.01</v>
      </c>
      <c r="E65" s="1439">
        <v>5.9999999999999995E-4</v>
      </c>
      <c r="F65" s="591">
        <f t="shared" si="2"/>
        <v>74.542799999999986</v>
      </c>
      <c r="G65" s="615">
        <f t="shared" si="3"/>
        <v>16.420400999999998</v>
      </c>
      <c r="H65" s="1390">
        <v>5.9130000000000002E-2</v>
      </c>
      <c r="I65" t="s">
        <v>1361</v>
      </c>
      <c r="U65" s="1440" t="s">
        <v>1320</v>
      </c>
    </row>
    <row r="66" spans="1:21" ht="15.75" thickBot="1">
      <c r="A66" s="686" t="s">
        <v>1372</v>
      </c>
      <c r="B66" s="1502" t="s">
        <v>1373</v>
      </c>
      <c r="C66" s="1439">
        <v>77.400000000000006</v>
      </c>
      <c r="D66" s="1439">
        <v>0.01</v>
      </c>
      <c r="E66" s="1439">
        <v>5.9999999999999995E-4</v>
      </c>
      <c r="F66" s="591">
        <f t="shared" si="2"/>
        <v>77.842799999999997</v>
      </c>
      <c r="G66" s="615">
        <f t="shared" si="3"/>
        <v>16.420400999999998</v>
      </c>
      <c r="H66" s="1390">
        <v>5.9130000000000002E-2</v>
      </c>
      <c r="I66" t="s">
        <v>1361</v>
      </c>
      <c r="U66" s="1440" t="s">
        <v>1320</v>
      </c>
    </row>
    <row r="67" spans="1:21" ht="15.75" thickBot="1">
      <c r="A67" s="686" t="s">
        <v>1374</v>
      </c>
      <c r="B67" s="1502" t="s">
        <v>1375</v>
      </c>
      <c r="C67" s="1439"/>
      <c r="D67" s="1439"/>
      <c r="E67" s="1439"/>
      <c r="F67" s="591"/>
      <c r="G67" s="615">
        <f t="shared" si="3"/>
        <v>0</v>
      </c>
      <c r="H67" s="1316"/>
      <c r="U67" s="1440" t="s">
        <v>1320</v>
      </c>
    </row>
    <row r="68" spans="1:21" ht="30.75" thickBot="1">
      <c r="A68" s="686" t="s">
        <v>1376</v>
      </c>
      <c r="B68" s="1502" t="s">
        <v>1375</v>
      </c>
      <c r="C68" s="1439"/>
      <c r="D68" s="1439"/>
      <c r="E68" s="1439"/>
      <c r="F68" s="591"/>
      <c r="G68" s="615">
        <f t="shared" si="3"/>
        <v>0</v>
      </c>
      <c r="H68" s="7"/>
      <c r="U68" s="1440" t="s">
        <v>1320</v>
      </c>
    </row>
    <row r="69" spans="1:21" ht="36" customHeight="1" thickBot="1">
      <c r="A69" s="686" t="s">
        <v>1377</v>
      </c>
      <c r="B69" s="1502">
        <v>25.7</v>
      </c>
      <c r="C69" s="1439">
        <v>63.1</v>
      </c>
      <c r="D69" s="1439">
        <v>5.0000000000000001E-3</v>
      </c>
      <c r="E69" s="1439">
        <v>1E-4</v>
      </c>
      <c r="F69" s="591">
        <f t="shared" ref="F69:F77" si="4">C69+D69*$C$6+E69*$C$7</f>
        <v>63.266799999999996</v>
      </c>
      <c r="G69" s="615">
        <f t="shared" si="3"/>
        <v>7.0757959999999995</v>
      </c>
      <c r="H69" s="1390">
        <v>2.5479999999999999E-2</v>
      </c>
      <c r="I69" t="s">
        <v>1361</v>
      </c>
      <c r="U69" s="1440" t="s">
        <v>1320</v>
      </c>
    </row>
    <row r="70" spans="1:21" ht="15.75" thickBot="1">
      <c r="A70" s="686" t="s">
        <v>1378</v>
      </c>
      <c r="B70" s="1502" t="s">
        <v>1379</v>
      </c>
      <c r="C70" s="1439">
        <v>73.3</v>
      </c>
      <c r="D70" s="1439">
        <v>0.01</v>
      </c>
      <c r="E70" s="1439">
        <v>5.9999999999999995E-4</v>
      </c>
      <c r="F70" s="591">
        <f t="shared" si="4"/>
        <v>73.742799999999988</v>
      </c>
      <c r="G70" s="615">
        <f t="shared" si="3"/>
        <v>13.390694</v>
      </c>
      <c r="H70" s="1390">
        <v>4.8219999999999999E-2</v>
      </c>
      <c r="I70" t="s">
        <v>1361</v>
      </c>
      <c r="U70" s="1440" t="s">
        <v>1320</v>
      </c>
    </row>
    <row r="71" spans="1:21" ht="15.75" thickBot="1">
      <c r="A71" s="686" t="s">
        <v>1380</v>
      </c>
      <c r="B71" s="1502" t="s">
        <v>1381</v>
      </c>
      <c r="C71" s="1439">
        <v>97.5</v>
      </c>
      <c r="D71" s="1439">
        <v>0.01</v>
      </c>
      <c r="E71" s="1439">
        <v>5.9999999999999995E-4</v>
      </c>
      <c r="F71" s="591">
        <f t="shared" si="4"/>
        <v>97.942799999999991</v>
      </c>
      <c r="G71" s="615">
        <f t="shared" si="3"/>
        <v>11.255180999999999</v>
      </c>
      <c r="H71" s="1390">
        <v>4.0529999999999997E-2</v>
      </c>
      <c r="I71" t="s">
        <v>1361</v>
      </c>
      <c r="U71" s="1440" t="s">
        <v>1320</v>
      </c>
    </row>
    <row r="72" spans="1:21" ht="15.75" thickBot="1">
      <c r="A72" s="686" t="s">
        <v>1382</v>
      </c>
      <c r="B72" s="1502" t="s">
        <v>1383</v>
      </c>
      <c r="C72" s="1439">
        <v>57.6</v>
      </c>
      <c r="D72" s="1439">
        <v>5.0000000000000001E-3</v>
      </c>
      <c r="E72" s="1439">
        <v>1E-4</v>
      </c>
      <c r="F72" s="591">
        <f t="shared" si="4"/>
        <v>57.766799999999996</v>
      </c>
      <c r="G72" s="615">
        <f t="shared" si="3"/>
        <v>8.117170999999999</v>
      </c>
      <c r="H72" s="1390">
        <v>2.9229999999999999E-2</v>
      </c>
      <c r="I72" t="s">
        <v>1361</v>
      </c>
      <c r="U72" s="1440" t="s">
        <v>1320</v>
      </c>
    </row>
    <row r="73" spans="1:21" ht="15.75" thickBot="1">
      <c r="A73" s="686" t="s">
        <v>1384</v>
      </c>
      <c r="B73" s="1502" t="s">
        <v>1381</v>
      </c>
      <c r="C73" s="1439"/>
      <c r="D73" s="1439"/>
      <c r="E73" s="1439"/>
      <c r="F73" s="591">
        <f t="shared" si="4"/>
        <v>0</v>
      </c>
      <c r="G73" s="591">
        <v>18</v>
      </c>
      <c r="H73" s="1316"/>
      <c r="U73" s="1440" t="s">
        <v>1320</v>
      </c>
    </row>
    <row r="74" spans="1:21" ht="30.75" thickBot="1">
      <c r="A74" s="686" t="s">
        <v>1385</v>
      </c>
      <c r="B74" s="1502" t="s">
        <v>1375</v>
      </c>
      <c r="C74" s="1439">
        <v>73.3</v>
      </c>
      <c r="D74" s="1439">
        <v>0.01</v>
      </c>
      <c r="E74" s="1439">
        <v>5.9999999999999995E-4</v>
      </c>
      <c r="F74" s="591">
        <f t="shared" si="4"/>
        <v>73.742799999999988</v>
      </c>
      <c r="G74" s="591">
        <v>18</v>
      </c>
      <c r="H74" s="1316"/>
      <c r="I74" t="s">
        <v>1361</v>
      </c>
      <c r="U74" s="1440" t="s">
        <v>1320</v>
      </c>
    </row>
    <row r="75" spans="1:21" ht="15.75" thickBot="1">
      <c r="A75" s="686" t="s">
        <v>1386</v>
      </c>
      <c r="B75" s="1502" t="s">
        <v>1387</v>
      </c>
      <c r="C75" s="1439">
        <v>70.8</v>
      </c>
      <c r="D75" s="1439">
        <v>0.01</v>
      </c>
      <c r="E75" s="1439">
        <v>5.9999999999999995E-4</v>
      </c>
      <c r="F75" s="591">
        <f t="shared" si="4"/>
        <v>71.242799999999988</v>
      </c>
      <c r="G75" s="615">
        <f t="shared" ref="G75" si="5">H75*277.7</f>
        <v>16.151032000000001</v>
      </c>
      <c r="H75" s="1390">
        <v>5.8160000000000003E-2</v>
      </c>
      <c r="I75" t="s">
        <v>1361</v>
      </c>
      <c r="U75" s="1440" t="s">
        <v>1320</v>
      </c>
    </row>
    <row r="76" spans="1:21" ht="30.75" thickBot="1">
      <c r="A76" s="686" t="s">
        <v>1388</v>
      </c>
      <c r="B76" s="1502" t="s">
        <v>1389</v>
      </c>
      <c r="C76" s="1439">
        <v>61.6</v>
      </c>
      <c r="D76" s="1439">
        <v>5.0000000000000001E-3</v>
      </c>
      <c r="E76" s="1439">
        <v>1E-4</v>
      </c>
      <c r="F76" s="591">
        <f t="shared" si="4"/>
        <v>61.766799999999996</v>
      </c>
      <c r="G76" s="591" t="s">
        <v>1360</v>
      </c>
      <c r="H76" s="1316"/>
      <c r="I76" t="s">
        <v>1361</v>
      </c>
      <c r="U76" s="1440" t="s">
        <v>1320</v>
      </c>
    </row>
    <row r="77" spans="1:21" ht="30.75" thickBot="1">
      <c r="A77" s="686" t="s">
        <v>1390</v>
      </c>
      <c r="B77" s="1502" t="s">
        <v>1389</v>
      </c>
      <c r="C77" s="1439">
        <v>79.599999999999994</v>
      </c>
      <c r="D77" s="1439">
        <v>0.01</v>
      </c>
      <c r="E77" s="1439">
        <v>5.9999999999999995E-4</v>
      </c>
      <c r="F77" s="591">
        <f t="shared" si="4"/>
        <v>80.042799999999986</v>
      </c>
      <c r="G77" s="591" t="s">
        <v>1360</v>
      </c>
      <c r="H77" s="1316"/>
      <c r="I77" t="s">
        <v>1361</v>
      </c>
      <c r="U77" s="1440" t="s">
        <v>1320</v>
      </c>
    </row>
    <row r="78" spans="1:21" ht="15.75" thickBot="1">
      <c r="A78" s="686" t="s">
        <v>1391</v>
      </c>
      <c r="B78" s="1502" t="s">
        <v>1392</v>
      </c>
      <c r="C78" s="1439"/>
      <c r="D78" s="1439"/>
      <c r="E78" s="1439"/>
      <c r="F78" s="591"/>
      <c r="G78" s="591" t="s">
        <v>1360</v>
      </c>
      <c r="U78" s="1440" t="s">
        <v>1320</v>
      </c>
    </row>
    <row r="79" spans="1:21" ht="15.75" thickBot="1">
      <c r="A79" s="686" t="s">
        <v>1393</v>
      </c>
      <c r="B79" s="1502" t="s">
        <v>1394</v>
      </c>
      <c r="C79" s="1439"/>
      <c r="D79" s="1439"/>
      <c r="E79" s="1439"/>
      <c r="F79" s="591"/>
      <c r="G79" s="591" t="s">
        <v>1360</v>
      </c>
    </row>
    <row r="80" spans="1:21">
      <c r="A80" s="250" t="s">
        <v>1334</v>
      </c>
    </row>
    <row r="81" spans="1:17">
      <c r="A81" s="250" t="s">
        <v>1395</v>
      </c>
      <c r="B81" s="279"/>
      <c r="C81" s="279"/>
    </row>
    <row r="83" spans="1:17" ht="23.25">
      <c r="A83" s="1802" t="s">
        <v>71</v>
      </c>
      <c r="B83" s="1803"/>
      <c r="C83" s="1803"/>
      <c r="D83" s="1803"/>
      <c r="E83" s="1803"/>
      <c r="F83" s="1803"/>
      <c r="G83" s="1803"/>
      <c r="H83" s="1803"/>
      <c r="I83" s="1803"/>
      <c r="J83" s="1803"/>
      <c r="K83" s="1803"/>
      <c r="L83" s="1803"/>
      <c r="M83" s="1803"/>
      <c r="N83" s="1803"/>
      <c r="O83" s="1803"/>
      <c r="P83" s="1803"/>
      <c r="Q83" s="1804"/>
    </row>
    <row r="84" spans="1:17" ht="15.75" thickBot="1"/>
    <row r="85" spans="1:17" ht="15.75" thickBot="1">
      <c r="A85" s="579" t="s">
        <v>1396</v>
      </c>
      <c r="B85" s="580" t="s">
        <v>1397</v>
      </c>
      <c r="C85" s="1515" t="s">
        <v>1398</v>
      </c>
      <c r="D85" s="610" t="s">
        <v>1399</v>
      </c>
      <c r="E85" s="611" t="s">
        <v>1400</v>
      </c>
      <c r="F85" s="610" t="s">
        <v>1401</v>
      </c>
    </row>
    <row r="86" spans="1:17">
      <c r="A86" s="582" t="s">
        <v>72</v>
      </c>
      <c r="B86" s="1353">
        <v>964.1</v>
      </c>
      <c r="C86" s="37">
        <v>1.34</v>
      </c>
      <c r="D86" s="612" t="s">
        <v>1402</v>
      </c>
      <c r="E86" s="586">
        <v>22.5</v>
      </c>
      <c r="F86" s="612">
        <f>E86*0.425144</f>
        <v>9.5657399999999999</v>
      </c>
    </row>
    <row r="87" spans="1:17">
      <c r="A87" s="585" t="s">
        <v>70</v>
      </c>
      <c r="B87" s="1354">
        <v>1041.7</v>
      </c>
      <c r="C87" s="37">
        <v>1.06</v>
      </c>
      <c r="D87" s="612" t="s">
        <v>1403</v>
      </c>
      <c r="E87" s="586">
        <v>16.2</v>
      </c>
      <c r="F87" s="612">
        <f t="shared" ref="F87:F88" si="6">E87*0.425144</f>
        <v>6.8873328000000003</v>
      </c>
    </row>
    <row r="88" spans="1:17">
      <c r="A88" s="605" t="s">
        <v>592</v>
      </c>
      <c r="B88" s="1514">
        <v>472.2</v>
      </c>
      <c r="C88" s="37">
        <v>0.61899999999999999</v>
      </c>
      <c r="D88" s="612" t="s">
        <v>1404</v>
      </c>
      <c r="E88" s="588">
        <v>8.8000000000000007</v>
      </c>
      <c r="F88" s="612">
        <f t="shared" si="6"/>
        <v>3.7412672000000007</v>
      </c>
    </row>
    <row r="89" spans="1:17">
      <c r="A89" s="606"/>
      <c r="B89" s="607"/>
    </row>
    <row r="90" spans="1:17">
      <c r="A90" t="s">
        <v>1405</v>
      </c>
      <c r="B90" s="609"/>
      <c r="D90" s="10" t="s">
        <v>1406</v>
      </c>
    </row>
    <row r="91" spans="1:17">
      <c r="A91" s="10" t="s">
        <v>1407</v>
      </c>
      <c r="B91" s="609"/>
    </row>
    <row r="92" spans="1:17">
      <c r="A92" s="608"/>
      <c r="B92" s="609"/>
    </row>
    <row r="93" spans="1:17" ht="23.25">
      <c r="A93" s="1802" t="s">
        <v>1408</v>
      </c>
      <c r="B93" s="1803"/>
      <c r="C93" s="1803"/>
      <c r="D93" s="1803"/>
      <c r="E93" s="1803"/>
      <c r="F93" s="1803"/>
      <c r="G93" s="1803"/>
      <c r="H93" s="1803"/>
      <c r="I93" s="1803"/>
      <c r="J93" s="1803"/>
      <c r="K93" s="1803"/>
      <c r="L93" s="1803"/>
      <c r="M93" s="1803"/>
      <c r="N93" s="1803"/>
      <c r="O93" s="1803"/>
      <c r="P93" s="1803"/>
      <c r="Q93" s="1804"/>
    </row>
    <row r="94" spans="1:17">
      <c r="A94" s="1864" t="s">
        <v>1409</v>
      </c>
      <c r="B94" s="1865"/>
      <c r="C94" s="1865"/>
      <c r="D94" s="1865"/>
      <c r="E94" s="1865"/>
      <c r="F94" s="1866"/>
    </row>
    <row r="95" spans="1:17" ht="15.75">
      <c r="A95" s="1867" t="s">
        <v>1410</v>
      </c>
      <c r="B95" s="1868"/>
      <c r="C95" s="1868"/>
      <c r="D95" s="1868"/>
      <c r="E95" s="1868"/>
      <c r="F95" s="1869"/>
    </row>
    <row r="96" spans="1:17">
      <c r="A96" s="1870" t="s">
        <v>1411</v>
      </c>
      <c r="B96" s="1871"/>
      <c r="C96" s="1871"/>
      <c r="D96" s="1871"/>
      <c r="E96" s="1871"/>
      <c r="F96" s="1872"/>
    </row>
    <row r="97" spans="1:23">
      <c r="A97" s="6" t="s">
        <v>1412</v>
      </c>
    </row>
    <row r="98" spans="1:23">
      <c r="A98" s="6"/>
    </row>
    <row r="99" spans="1:23" ht="37.5">
      <c r="A99" s="257" t="s">
        <v>1413</v>
      </c>
      <c r="B99" s="257" t="s">
        <v>1414</v>
      </c>
    </row>
    <row r="100" spans="1:23" ht="15.75">
      <c r="A100" s="254">
        <v>0.01</v>
      </c>
      <c r="B100" s="254">
        <v>1.5713999999999999</v>
      </c>
      <c r="U100" s="1440" t="s">
        <v>1415</v>
      </c>
    </row>
    <row r="102" spans="1:23" ht="37.5">
      <c r="A102" s="257" t="s">
        <v>1416</v>
      </c>
      <c r="B102" s="257" t="s">
        <v>1414</v>
      </c>
    </row>
    <row r="103" spans="1:23" ht="15.75">
      <c r="A103" s="254">
        <v>7.4999999999999997E-3</v>
      </c>
      <c r="B103" s="254">
        <v>1.5713999999999999</v>
      </c>
      <c r="U103" s="1440" t="s">
        <v>1415</v>
      </c>
    </row>
    <row r="104" spans="1:23">
      <c r="A104" s="6" t="s">
        <v>1412</v>
      </c>
    </row>
    <row r="105" spans="1:23">
      <c r="A105" s="6"/>
    </row>
    <row r="106" spans="1:23" s="22" customFormat="1" ht="15.75">
      <c r="A106" s="669" t="s">
        <v>1417</v>
      </c>
      <c r="B106" s="669" t="s">
        <v>967</v>
      </c>
      <c r="C106" s="669" t="s">
        <v>1418</v>
      </c>
      <c r="D106" s="669" t="s">
        <v>1340</v>
      </c>
      <c r="F106" s="264"/>
      <c r="U106" s="1441"/>
      <c r="V106" s="261"/>
      <c r="W106" s="261"/>
    </row>
    <row r="107" spans="1:23" s="22" customFormat="1" ht="47.25">
      <c r="A107" s="670" t="s">
        <v>548</v>
      </c>
      <c r="B107" s="671" t="s">
        <v>1419</v>
      </c>
      <c r="C107">
        <v>1.9421999999999999</v>
      </c>
      <c r="D107" s="266" t="s">
        <v>1420</v>
      </c>
      <c r="F107" s="264"/>
      <c r="U107" s="1440" t="s">
        <v>1421</v>
      </c>
      <c r="V107" s="261"/>
      <c r="W107" s="261"/>
    </row>
    <row r="108" spans="1:23" s="22" customFormat="1" ht="47.25">
      <c r="A108" s="670" t="s">
        <v>549</v>
      </c>
      <c r="B108" s="671" t="s">
        <v>1422</v>
      </c>
      <c r="C108">
        <v>1.8284</v>
      </c>
      <c r="D108" s="266" t="s">
        <v>1420</v>
      </c>
      <c r="F108" s="264"/>
      <c r="U108" s="1440" t="s">
        <v>1421</v>
      </c>
      <c r="V108" s="261"/>
      <c r="W108" s="261"/>
    </row>
    <row r="109" spans="1:23" s="22" customFormat="1" ht="31.5">
      <c r="A109" s="670" t="s">
        <v>550</v>
      </c>
      <c r="B109" s="671" t="s">
        <v>1423</v>
      </c>
      <c r="C109" s="1343">
        <v>4.1792000000000003E-2</v>
      </c>
      <c r="D109" s="266" t="s">
        <v>1420</v>
      </c>
      <c r="F109" s="264"/>
      <c r="U109" s="1440" t="s">
        <v>1421</v>
      </c>
      <c r="V109" s="261"/>
      <c r="W109" s="261"/>
    </row>
    <row r="110" spans="1:23">
      <c r="A110" s="6"/>
    </row>
    <row r="111" spans="1:23" ht="23.25">
      <c r="A111" s="1802" t="s">
        <v>1424</v>
      </c>
      <c r="B111" s="1803"/>
      <c r="C111" s="1803"/>
      <c r="D111" s="1803"/>
      <c r="E111" s="1803"/>
      <c r="F111" s="1803"/>
      <c r="G111" s="1803"/>
      <c r="H111" s="1803"/>
      <c r="I111" s="1803"/>
      <c r="J111" s="1803"/>
      <c r="K111" s="1803"/>
      <c r="L111" s="1803"/>
      <c r="M111" s="1803"/>
      <c r="N111" s="1803"/>
      <c r="O111" s="1803"/>
      <c r="P111" s="1803"/>
      <c r="Q111" s="1804"/>
    </row>
    <row r="112" spans="1:23">
      <c r="A112" s="3"/>
      <c r="B112" s="3"/>
    </row>
    <row r="113" spans="1:21">
      <c r="A113" s="6" t="s">
        <v>1425</v>
      </c>
    </row>
    <row r="116" spans="1:21" ht="15.75">
      <c r="E116" s="669" t="s">
        <v>1417</v>
      </c>
      <c r="F116" s="669" t="s">
        <v>967</v>
      </c>
      <c r="G116" s="669" t="s">
        <v>1426</v>
      </c>
      <c r="H116" s="669" t="s">
        <v>1418</v>
      </c>
      <c r="I116" s="669" t="s">
        <v>1340</v>
      </c>
    </row>
    <row r="117" spans="1:21" ht="94.5">
      <c r="E117" s="1358" t="s">
        <v>1427</v>
      </c>
      <c r="F117" s="1359" t="s">
        <v>1428</v>
      </c>
      <c r="G117" t="s">
        <v>1429</v>
      </c>
      <c r="H117">
        <v>0.1419</v>
      </c>
      <c r="I117" s="1360" t="s">
        <v>1430</v>
      </c>
      <c r="U117" s="1440" t="s">
        <v>1421</v>
      </c>
    </row>
    <row r="118" spans="1:21" ht="78.75">
      <c r="E118" s="670" t="s">
        <v>1431</v>
      </c>
      <c r="F118" s="671" t="s">
        <v>1432</v>
      </c>
      <c r="G118" s="37" t="s">
        <v>1429</v>
      </c>
      <c r="H118" s="37">
        <v>7.8291000000000004</v>
      </c>
      <c r="I118" s="266" t="s">
        <v>1430</v>
      </c>
      <c r="U118" s="1440" t="s">
        <v>1421</v>
      </c>
    </row>
    <row r="135" spans="1:21" ht="23.25">
      <c r="A135" s="1802" t="s">
        <v>1433</v>
      </c>
      <c r="B135" s="1803"/>
      <c r="C135" s="1803"/>
      <c r="D135" s="1803"/>
      <c r="E135" s="1803"/>
      <c r="F135" s="1803"/>
      <c r="G135" s="1803"/>
      <c r="H135" s="1803"/>
      <c r="I135" s="1803"/>
      <c r="J135" s="1803"/>
      <c r="K135" s="1803"/>
      <c r="L135" s="1803"/>
      <c r="M135" s="1803"/>
      <c r="N135" s="1803"/>
      <c r="O135" s="1803"/>
      <c r="P135" s="1803"/>
      <c r="Q135" s="1804"/>
    </row>
    <row r="136" spans="1:21">
      <c r="A136" s="10" t="s">
        <v>1434</v>
      </c>
    </row>
    <row r="137" spans="1:21">
      <c r="A137" s="1798" t="s">
        <v>2462</v>
      </c>
      <c r="B137" s="1798"/>
      <c r="C137" s="1798"/>
      <c r="D137" s="1798"/>
      <c r="E137" s="1798"/>
      <c r="F137" s="1798"/>
      <c r="G137" s="1798"/>
      <c r="H137" s="1798"/>
      <c r="I137" s="1798"/>
    </row>
    <row r="138" spans="1:21">
      <c r="A138" s="1878" t="s">
        <v>1436</v>
      </c>
      <c r="B138" s="1878"/>
      <c r="C138" s="1878"/>
      <c r="D138" s="1878"/>
      <c r="E138" s="1878"/>
      <c r="F138" s="1878"/>
      <c r="G138" s="1878"/>
      <c r="H138" s="1878"/>
      <c r="I138" s="1878"/>
    </row>
    <row r="139" spans="1:21" ht="15.75" thickBot="1">
      <c r="B139" s="276" t="s">
        <v>1437</v>
      </c>
    </row>
    <row r="140" spans="1:21" ht="15.75" thickBot="1">
      <c r="B140" s="282" t="s">
        <v>1438</v>
      </c>
      <c r="C140" s="273" t="s">
        <v>585</v>
      </c>
      <c r="D140" s="1570" t="s">
        <v>1439</v>
      </c>
    </row>
    <row r="141" spans="1:21" ht="15.75" thickBot="1">
      <c r="B141" s="274" t="s">
        <v>591</v>
      </c>
      <c r="C141" s="1569" t="s">
        <v>1440</v>
      </c>
      <c r="D141" s="1571">
        <v>1</v>
      </c>
      <c r="U141" s="1440" t="s">
        <v>1441</v>
      </c>
    </row>
    <row r="142" spans="1:21" ht="15.75" thickBot="1">
      <c r="B142" s="274" t="s">
        <v>592</v>
      </c>
      <c r="C142" s="1569" t="s">
        <v>1442</v>
      </c>
      <c r="D142" s="1572">
        <v>27.9</v>
      </c>
      <c r="U142" s="1440" t="s">
        <v>1441</v>
      </c>
    </row>
    <row r="143" spans="1:21" ht="15.75" thickBot="1">
      <c r="B143" s="274" t="s">
        <v>1443</v>
      </c>
      <c r="C143" s="1569" t="s">
        <v>1444</v>
      </c>
      <c r="D143" s="1572">
        <v>273</v>
      </c>
      <c r="U143" s="1440" t="s">
        <v>1441</v>
      </c>
    </row>
    <row r="144" spans="1:21" ht="15.75" thickBot="1">
      <c r="B144" s="274" t="s">
        <v>596</v>
      </c>
      <c r="C144" s="1569" t="s">
        <v>1445</v>
      </c>
      <c r="D144" s="1247">
        <v>24300</v>
      </c>
      <c r="U144" s="1440" t="s">
        <v>1441</v>
      </c>
    </row>
    <row r="145" spans="2:21" ht="15.75" thickBot="1">
      <c r="B145" s="284" t="s">
        <v>1446</v>
      </c>
      <c r="C145" s="1569"/>
      <c r="D145" s="1573"/>
      <c r="U145" s="1440" t="s">
        <v>1441</v>
      </c>
    </row>
    <row r="146" spans="2:21" ht="15.75" thickBot="1">
      <c r="B146" s="274" t="s">
        <v>634</v>
      </c>
      <c r="C146" s="1569" t="s">
        <v>1447</v>
      </c>
      <c r="D146" s="1247">
        <v>14600</v>
      </c>
      <c r="U146" s="1440" t="s">
        <v>1441</v>
      </c>
    </row>
    <row r="147" spans="2:21" ht="15.75" thickBot="1">
      <c r="B147" s="274" t="s">
        <v>636</v>
      </c>
      <c r="C147" s="1569" t="s">
        <v>1448</v>
      </c>
      <c r="D147" s="1247">
        <v>771</v>
      </c>
      <c r="U147" s="1440" t="s">
        <v>1441</v>
      </c>
    </row>
    <row r="148" spans="2:21" ht="15.75" thickBot="1">
      <c r="B148" s="274" t="s">
        <v>638</v>
      </c>
      <c r="C148" s="1569" t="s">
        <v>1449</v>
      </c>
      <c r="D148" s="1247">
        <v>135</v>
      </c>
      <c r="U148" s="1440" t="s">
        <v>1441</v>
      </c>
    </row>
    <row r="149" spans="2:21" ht="15.75" thickBot="1">
      <c r="B149" s="274" t="s">
        <v>640</v>
      </c>
      <c r="C149" s="1569" t="s">
        <v>1450</v>
      </c>
      <c r="D149" s="1247">
        <v>1600</v>
      </c>
      <c r="U149" s="1440" t="s">
        <v>1441</v>
      </c>
    </row>
    <row r="150" spans="2:21" ht="15.75" thickBot="1">
      <c r="B150" s="274" t="s">
        <v>642</v>
      </c>
      <c r="C150" s="1569" t="s">
        <v>1451</v>
      </c>
      <c r="D150" s="1247">
        <v>3740</v>
      </c>
      <c r="U150" s="1440" t="s">
        <v>1441</v>
      </c>
    </row>
    <row r="151" spans="2:21" ht="15.75" thickBot="1">
      <c r="B151" s="274" t="s">
        <v>644</v>
      </c>
      <c r="C151" s="1569" t="s">
        <v>1452</v>
      </c>
      <c r="D151" s="1247">
        <v>1260</v>
      </c>
      <c r="U151" s="1440" t="s">
        <v>1441</v>
      </c>
    </row>
    <row r="152" spans="2:21" ht="15.75" thickBot="1">
      <c r="B152" s="274" t="s">
        <v>646</v>
      </c>
      <c r="C152" s="1569" t="s">
        <v>1453</v>
      </c>
      <c r="D152" s="1247">
        <v>1530</v>
      </c>
      <c r="G152" s="10"/>
      <c r="U152" s="1440" t="s">
        <v>1441</v>
      </c>
    </row>
    <row r="153" spans="2:21" ht="15.75" thickBot="1">
      <c r="B153" s="274" t="s">
        <v>648</v>
      </c>
      <c r="C153" s="1569" t="s">
        <v>1454</v>
      </c>
      <c r="D153" s="1247">
        <v>364</v>
      </c>
      <c r="G153" s="10"/>
      <c r="U153" s="1440" t="s">
        <v>1441</v>
      </c>
    </row>
    <row r="154" spans="2:21" ht="15.75" thickBot="1">
      <c r="B154" s="274" t="s">
        <v>650</v>
      </c>
      <c r="C154" s="1569" t="s">
        <v>1455</v>
      </c>
      <c r="D154" s="1247">
        <v>5810</v>
      </c>
      <c r="F154" s="1268"/>
      <c r="G154" s="10"/>
      <c r="H154" s="217"/>
      <c r="U154" s="1440" t="s">
        <v>1441</v>
      </c>
    </row>
    <row r="155" spans="2:21" ht="15.75" thickBot="1">
      <c r="B155" s="274" t="s">
        <v>652</v>
      </c>
      <c r="C155" s="1569" t="s">
        <v>1456</v>
      </c>
      <c r="D155" s="1247">
        <v>164</v>
      </c>
      <c r="U155" s="1440" t="s">
        <v>1441</v>
      </c>
    </row>
    <row r="156" spans="2:21" ht="15.75" thickBot="1">
      <c r="B156" s="274" t="s">
        <v>654</v>
      </c>
      <c r="C156" s="1569" t="s">
        <v>1457</v>
      </c>
      <c r="D156" s="1247">
        <v>3600</v>
      </c>
      <c r="U156" s="1440" t="s">
        <v>1441</v>
      </c>
    </row>
    <row r="157" spans="2:21" ht="15.75" thickBot="1">
      <c r="B157" s="274" t="s">
        <v>656</v>
      </c>
      <c r="C157" s="1569" t="s">
        <v>1458</v>
      </c>
      <c r="D157" s="1247">
        <v>8690</v>
      </c>
      <c r="U157" s="1440" t="s">
        <v>1441</v>
      </c>
    </row>
    <row r="158" spans="2:21" ht="15.75" thickBot="1">
      <c r="B158" s="274" t="s">
        <v>658</v>
      </c>
      <c r="C158" s="1569" t="s">
        <v>1459</v>
      </c>
      <c r="D158" s="1247">
        <v>787</v>
      </c>
      <c r="U158" s="1440" t="s">
        <v>1441</v>
      </c>
    </row>
    <row r="159" spans="2:21" ht="15.75" thickBot="1">
      <c r="B159" s="274" t="s">
        <v>660</v>
      </c>
      <c r="C159" s="1569" t="s">
        <v>1460</v>
      </c>
      <c r="D159" s="1247">
        <v>962</v>
      </c>
      <c r="U159" s="1440" t="s">
        <v>1441</v>
      </c>
    </row>
    <row r="160" spans="2:21" ht="15.75" thickBot="1">
      <c r="B160" s="274" t="s">
        <v>662</v>
      </c>
      <c r="C160" s="1569" t="s">
        <v>1461</v>
      </c>
      <c r="D160" s="1247">
        <v>914</v>
      </c>
      <c r="U160" s="1440" t="s">
        <v>1441</v>
      </c>
    </row>
    <row r="161" spans="1:21" ht="15.75" thickBot="1">
      <c r="B161" s="284" t="s">
        <v>1462</v>
      </c>
      <c r="C161" s="1569"/>
      <c r="D161" s="1573"/>
      <c r="U161" s="1440" t="s">
        <v>1441</v>
      </c>
    </row>
    <row r="162" spans="1:21" ht="15.75" thickBot="1">
      <c r="B162" s="274" t="s">
        <v>1463</v>
      </c>
      <c r="C162" s="1569" t="s">
        <v>1464</v>
      </c>
      <c r="D162" s="1247">
        <v>7380</v>
      </c>
      <c r="U162" s="1440" t="s">
        <v>1441</v>
      </c>
    </row>
    <row r="163" spans="1:21" ht="15.75" thickBot="1">
      <c r="B163" s="274" t="s">
        <v>1465</v>
      </c>
      <c r="C163" s="1569" t="s">
        <v>1466</v>
      </c>
      <c r="D163" s="1247">
        <v>12400</v>
      </c>
      <c r="U163" s="1440" t="s">
        <v>1441</v>
      </c>
    </row>
    <row r="164" spans="1:21" ht="15.75" thickBot="1">
      <c r="B164" s="274" t="s">
        <v>669</v>
      </c>
      <c r="C164" s="1569" t="s">
        <v>1467</v>
      </c>
      <c r="D164" s="1247">
        <v>9290</v>
      </c>
      <c r="U164" s="1440" t="s">
        <v>1441</v>
      </c>
    </row>
    <row r="165" spans="1:21" ht="15.75" thickBot="1">
      <c r="B165" s="274" t="s">
        <v>671</v>
      </c>
      <c r="C165" s="1569" t="s">
        <v>1468</v>
      </c>
      <c r="D165" s="1247">
        <v>10000</v>
      </c>
      <c r="U165" s="1440" t="s">
        <v>1441</v>
      </c>
    </row>
    <row r="166" spans="1:21" ht="15.75" thickBot="1">
      <c r="B166" s="274" t="s">
        <v>673</v>
      </c>
      <c r="C166" s="1569" t="s">
        <v>1469</v>
      </c>
      <c r="D166" s="1247">
        <v>10200</v>
      </c>
      <c r="U166" s="1440" t="s">
        <v>1441</v>
      </c>
    </row>
    <row r="167" spans="1:21" ht="15.75" thickBot="1">
      <c r="B167" s="274" t="s">
        <v>675</v>
      </c>
      <c r="C167" s="1569" t="s">
        <v>1470</v>
      </c>
      <c r="D167" s="1247">
        <v>9220</v>
      </c>
      <c r="U167" s="1440" t="s">
        <v>1441</v>
      </c>
    </row>
    <row r="168" spans="1:21" ht="15.75" thickBot="1">
      <c r="B168" s="274" t="s">
        <v>677</v>
      </c>
      <c r="C168" s="1569" t="s">
        <v>1471</v>
      </c>
      <c r="D168" s="1247">
        <v>8620</v>
      </c>
      <c r="U168" s="1440" t="s">
        <v>1441</v>
      </c>
    </row>
    <row r="169" spans="1:21">
      <c r="A169" s="10"/>
      <c r="B169" s="279"/>
      <c r="C169" s="279"/>
    </row>
    <row r="170" spans="1:21">
      <c r="A170" s="10"/>
    </row>
    <row r="171" spans="1:21">
      <c r="B171" s="1879" t="s">
        <v>1472</v>
      </c>
      <c r="C171" s="1880"/>
      <c r="D171" s="1880"/>
      <c r="E171" s="1881"/>
    </row>
    <row r="172" spans="1:21">
      <c r="B172" s="1882" t="s">
        <v>501</v>
      </c>
      <c r="C172" s="1883"/>
      <c r="D172" s="1884" t="s">
        <v>1340</v>
      </c>
      <c r="E172" s="1886" t="s">
        <v>1473</v>
      </c>
    </row>
    <row r="173" spans="1:21">
      <c r="B173" s="169" t="s">
        <v>584</v>
      </c>
      <c r="C173" s="169" t="s">
        <v>585</v>
      </c>
      <c r="D173" s="1885"/>
      <c r="E173" s="1887"/>
    </row>
    <row r="174" spans="1:21">
      <c r="B174" s="1821" t="s">
        <v>598</v>
      </c>
      <c r="C174" s="1822"/>
      <c r="D174" s="1822"/>
      <c r="E174" s="1823"/>
    </row>
    <row r="175" spans="1:21" ht="18">
      <c r="B175" s="168" t="s">
        <v>599</v>
      </c>
      <c r="C175" s="168" t="s">
        <v>1474</v>
      </c>
      <c r="D175" s="168" t="s">
        <v>1475</v>
      </c>
      <c r="E175" s="1560">
        <v>6230</v>
      </c>
      <c r="U175" s="1440" t="s">
        <v>1441</v>
      </c>
    </row>
    <row r="176" spans="1:21" ht="18">
      <c r="B176" s="168" t="s">
        <v>600</v>
      </c>
      <c r="C176" s="168" t="s">
        <v>1476</v>
      </c>
      <c r="D176" s="168" t="s">
        <v>1475</v>
      </c>
      <c r="E176" s="1560">
        <v>12500</v>
      </c>
      <c r="I176" s="217"/>
      <c r="U176" s="1440" t="s">
        <v>1441</v>
      </c>
    </row>
    <row r="177" spans="2:21" ht="18">
      <c r="B177" s="168" t="s">
        <v>601</v>
      </c>
      <c r="C177" s="168" t="s">
        <v>1477</v>
      </c>
      <c r="D177" s="168" t="s">
        <v>1475</v>
      </c>
      <c r="E177" s="1560">
        <v>16200</v>
      </c>
      <c r="I177" s="217"/>
      <c r="U177" s="1440" t="s">
        <v>1441</v>
      </c>
    </row>
    <row r="178" spans="2:21">
      <c r="B178" s="168" t="s">
        <v>2451</v>
      </c>
      <c r="C178" s="168" t="s">
        <v>2454</v>
      </c>
      <c r="D178" s="168" t="s">
        <v>1475</v>
      </c>
      <c r="E178" s="1560">
        <v>4620</v>
      </c>
      <c r="I178" s="217"/>
      <c r="U178" s="1440" t="s">
        <v>1441</v>
      </c>
    </row>
    <row r="179" spans="2:21">
      <c r="B179" s="168" t="s">
        <v>2452</v>
      </c>
      <c r="C179" s="168" t="s">
        <v>2455</v>
      </c>
      <c r="D179" s="168" t="s">
        <v>1475</v>
      </c>
      <c r="E179" s="1560">
        <v>3550</v>
      </c>
      <c r="I179" s="217"/>
      <c r="U179" s="1440" t="s">
        <v>1441</v>
      </c>
    </row>
    <row r="180" spans="2:21" ht="18">
      <c r="B180" s="168" t="s">
        <v>602</v>
      </c>
      <c r="C180" s="168" t="s">
        <v>1478</v>
      </c>
      <c r="D180" s="168" t="s">
        <v>1475</v>
      </c>
      <c r="E180" s="1560">
        <v>6520</v>
      </c>
      <c r="I180" s="217"/>
      <c r="U180" s="1440" t="s">
        <v>1441</v>
      </c>
    </row>
    <row r="181" spans="2:21" ht="18">
      <c r="B181" s="168" t="s">
        <v>603</v>
      </c>
      <c r="C181" s="168" t="s">
        <v>1479</v>
      </c>
      <c r="D181" s="168" t="s">
        <v>1475</v>
      </c>
      <c r="E181" s="1560">
        <v>9430</v>
      </c>
      <c r="I181" s="217"/>
      <c r="U181" s="1440" t="s">
        <v>1441</v>
      </c>
    </row>
    <row r="182" spans="2:21" ht="18">
      <c r="B182" s="168" t="s">
        <v>604</v>
      </c>
      <c r="C182" s="168" t="s">
        <v>1480</v>
      </c>
      <c r="D182" s="168" t="s">
        <v>1475</v>
      </c>
      <c r="E182" s="1560">
        <v>9600</v>
      </c>
      <c r="I182" s="217"/>
      <c r="U182" s="1440" t="s">
        <v>1441</v>
      </c>
    </row>
    <row r="183" spans="2:21" ht="18">
      <c r="B183" s="168" t="s">
        <v>607</v>
      </c>
      <c r="C183" s="168" t="s">
        <v>1481</v>
      </c>
      <c r="D183" s="168" t="s">
        <v>1475</v>
      </c>
      <c r="E183" s="1560">
        <v>7200</v>
      </c>
      <c r="I183" s="217"/>
      <c r="U183" s="1440" t="s">
        <v>1441</v>
      </c>
    </row>
    <row r="184" spans="2:21" ht="18">
      <c r="B184" s="168" t="s">
        <v>609</v>
      </c>
      <c r="C184" s="168" t="s">
        <v>1482</v>
      </c>
      <c r="D184" s="168" t="s">
        <v>1475</v>
      </c>
      <c r="E184" s="1560">
        <v>1930</v>
      </c>
      <c r="I184" s="217"/>
      <c r="U184" s="1440" t="s">
        <v>1441</v>
      </c>
    </row>
    <row r="185" spans="2:21" ht="18">
      <c r="B185" s="168" t="s">
        <v>611</v>
      </c>
      <c r="C185" s="168" t="s">
        <v>1483</v>
      </c>
      <c r="D185" s="168" t="s">
        <v>1475</v>
      </c>
      <c r="E185" s="1560">
        <v>2170</v>
      </c>
      <c r="I185" s="217"/>
      <c r="U185" s="1440" t="s">
        <v>1441</v>
      </c>
    </row>
    <row r="186" spans="2:21" ht="18">
      <c r="B186" s="168" t="s">
        <v>613</v>
      </c>
      <c r="C186" s="168" t="s">
        <v>1484</v>
      </c>
      <c r="D186" s="168" t="s">
        <v>1475</v>
      </c>
      <c r="E186" s="1560">
        <v>2200</v>
      </c>
      <c r="I186" s="217"/>
      <c r="U186" s="1440" t="s">
        <v>1441</v>
      </c>
    </row>
    <row r="187" spans="2:21" ht="18">
      <c r="B187" s="168" t="s">
        <v>615</v>
      </c>
      <c r="C187" s="168" t="s">
        <v>1485</v>
      </c>
      <c r="D187" s="168" t="s">
        <v>1475</v>
      </c>
      <c r="E187" s="1578">
        <v>2.4300000000000002</v>
      </c>
      <c r="I187" s="217"/>
      <c r="U187" s="1440" t="s">
        <v>1441</v>
      </c>
    </row>
    <row r="188" spans="2:21" ht="18">
      <c r="B188" s="168" t="s">
        <v>617</v>
      </c>
      <c r="C188" s="168" t="s">
        <v>1486</v>
      </c>
      <c r="D188" s="168" t="s">
        <v>1475</v>
      </c>
      <c r="E188" s="1560">
        <v>161</v>
      </c>
      <c r="I188" s="217"/>
      <c r="U188" s="1440" t="s">
        <v>1441</v>
      </c>
    </row>
    <row r="189" spans="2:21" ht="18">
      <c r="B189" s="168" t="s">
        <v>1487</v>
      </c>
      <c r="C189" s="168" t="s">
        <v>1488</v>
      </c>
      <c r="D189" s="168" t="s">
        <v>1475</v>
      </c>
      <c r="E189" s="1560">
        <v>1960</v>
      </c>
      <c r="I189" s="217"/>
      <c r="U189" s="1440" t="s">
        <v>1441</v>
      </c>
    </row>
    <row r="190" spans="2:21" ht="18">
      <c r="B190" s="168" t="s">
        <v>621</v>
      </c>
      <c r="C190" s="168" t="s">
        <v>1489</v>
      </c>
      <c r="D190" s="168" t="s">
        <v>1475</v>
      </c>
      <c r="E190" s="1566">
        <v>90.4</v>
      </c>
      <c r="I190" s="217"/>
      <c r="U190" s="1440" t="s">
        <v>1441</v>
      </c>
    </row>
    <row r="191" spans="2:21" ht="18">
      <c r="B191" s="168" t="s">
        <v>623</v>
      </c>
      <c r="C191" s="168" t="s">
        <v>1490</v>
      </c>
      <c r="D191" s="168" t="s">
        <v>1475</v>
      </c>
      <c r="E191" s="1560">
        <v>597</v>
      </c>
      <c r="I191" s="217"/>
      <c r="U191" s="1440" t="s">
        <v>1441</v>
      </c>
    </row>
    <row r="192" spans="2:21" ht="18">
      <c r="B192" s="168" t="s">
        <v>625</v>
      </c>
      <c r="C192" s="168" t="s">
        <v>1491</v>
      </c>
      <c r="D192" s="168" t="s">
        <v>1475</v>
      </c>
      <c r="E192" s="1560">
        <v>860</v>
      </c>
      <c r="I192" s="217"/>
      <c r="U192" s="1440" t="s">
        <v>1441</v>
      </c>
    </row>
    <row r="193" spans="2:21" ht="18">
      <c r="B193" s="168" t="s">
        <v>627</v>
      </c>
      <c r="C193" s="168" t="s">
        <v>1492</v>
      </c>
      <c r="D193" s="168" t="s">
        <v>1475</v>
      </c>
      <c r="E193" s="1560">
        <v>2300</v>
      </c>
      <c r="I193" s="217"/>
      <c r="U193" s="1440" t="s">
        <v>1441</v>
      </c>
    </row>
    <row r="194" spans="2:21" ht="18">
      <c r="B194" s="168" t="s">
        <v>629</v>
      </c>
      <c r="C194" s="168" t="s">
        <v>1493</v>
      </c>
      <c r="D194" s="168" t="s">
        <v>1475</v>
      </c>
      <c r="E194" s="1560">
        <v>137</v>
      </c>
      <c r="I194" s="217"/>
      <c r="U194" s="1440" t="s">
        <v>1441</v>
      </c>
    </row>
    <row r="195" spans="2:21" ht="18">
      <c r="B195" s="168" t="s">
        <v>631</v>
      </c>
      <c r="C195" s="168" t="s">
        <v>1494</v>
      </c>
      <c r="D195" s="168" t="s">
        <v>1475</v>
      </c>
      <c r="E195" s="1560">
        <v>568</v>
      </c>
      <c r="I195" s="217"/>
      <c r="U195" s="1440" t="s">
        <v>1441</v>
      </c>
    </row>
    <row r="196" spans="2:21">
      <c r="B196" s="1821" t="s">
        <v>664</v>
      </c>
      <c r="C196" s="1822"/>
      <c r="D196" s="1822"/>
      <c r="E196" s="1823"/>
      <c r="U196" s="1440" t="s">
        <v>1441</v>
      </c>
    </row>
    <row r="197" spans="2:21" ht="18">
      <c r="B197" s="168" t="s">
        <v>1495</v>
      </c>
      <c r="C197" s="168" t="s">
        <v>1496</v>
      </c>
      <c r="D197" s="168" t="s">
        <v>1475</v>
      </c>
      <c r="E197" s="1247">
        <v>24300</v>
      </c>
      <c r="I197" s="218"/>
      <c r="U197" s="1440" t="s">
        <v>1441</v>
      </c>
    </row>
    <row r="198" spans="2:21" ht="18">
      <c r="B198" s="168" t="s">
        <v>1497</v>
      </c>
      <c r="C198" s="168" t="s">
        <v>1498</v>
      </c>
      <c r="D198" s="168" t="s">
        <v>1475</v>
      </c>
      <c r="E198" s="1247">
        <v>17400</v>
      </c>
      <c r="I198" s="218"/>
      <c r="U198" s="1440" t="s">
        <v>1441</v>
      </c>
    </row>
    <row r="199" spans="2:21">
      <c r="B199" s="168" t="s">
        <v>1499</v>
      </c>
      <c r="C199" s="168"/>
      <c r="D199" s="168" t="s">
        <v>1475</v>
      </c>
      <c r="E199" s="1247">
        <v>18500</v>
      </c>
      <c r="I199" s="218"/>
      <c r="U199" s="1440" t="s">
        <v>1441</v>
      </c>
    </row>
    <row r="200" spans="2:21">
      <c r="B200" s="1821" t="s">
        <v>1500</v>
      </c>
      <c r="C200" s="1822"/>
      <c r="D200" s="1822"/>
      <c r="E200" s="1823"/>
      <c r="U200" s="1440" t="s">
        <v>1441</v>
      </c>
    </row>
    <row r="201" spans="2:21">
      <c r="B201" s="168" t="s">
        <v>1501</v>
      </c>
      <c r="C201" t="s">
        <v>1502</v>
      </c>
      <c r="D201" s="168" t="s">
        <v>1475</v>
      </c>
      <c r="E201" s="1247">
        <v>14300</v>
      </c>
      <c r="I201" s="218"/>
      <c r="U201" s="1440" t="s">
        <v>1441</v>
      </c>
    </row>
    <row r="202" spans="2:21">
      <c r="B202" s="168" t="s">
        <v>1503</v>
      </c>
      <c r="C202" t="s">
        <v>1504</v>
      </c>
      <c r="D202" s="168" t="s">
        <v>1475</v>
      </c>
      <c r="E202" s="1247">
        <v>6630</v>
      </c>
      <c r="I202" s="218"/>
      <c r="U202" s="1440" t="s">
        <v>1441</v>
      </c>
    </row>
    <row r="203" spans="2:21">
      <c r="B203" s="168" t="s">
        <v>1505</v>
      </c>
      <c r="C203" s="168"/>
      <c r="D203" s="168" t="s">
        <v>1475</v>
      </c>
      <c r="E203" s="1247">
        <v>616</v>
      </c>
      <c r="I203" s="215"/>
      <c r="U203" s="1440" t="s">
        <v>1441</v>
      </c>
    </row>
    <row r="204" spans="2:21">
      <c r="B204" s="168" t="s">
        <v>1506</v>
      </c>
      <c r="C204" s="168"/>
      <c r="D204" s="168" t="s">
        <v>1475</v>
      </c>
      <c r="E204" s="1247">
        <v>539</v>
      </c>
      <c r="I204" s="215"/>
      <c r="U204" s="1440" t="s">
        <v>1441</v>
      </c>
    </row>
    <row r="205" spans="2:21">
      <c r="B205" s="168" t="s">
        <v>1507</v>
      </c>
      <c r="C205" s="168"/>
      <c r="D205" s="168" t="s">
        <v>1475</v>
      </c>
      <c r="E205" s="1247">
        <v>747</v>
      </c>
      <c r="I205" s="215"/>
      <c r="U205" s="1440" t="s">
        <v>1441</v>
      </c>
    </row>
    <row r="206" spans="2:21">
      <c r="B206" s="168" t="s">
        <v>1508</v>
      </c>
      <c r="C206" s="168"/>
      <c r="D206" s="168" t="s">
        <v>1475</v>
      </c>
      <c r="E206" s="1247">
        <v>878</v>
      </c>
      <c r="I206" s="215"/>
      <c r="U206" s="1440" t="s">
        <v>1441</v>
      </c>
    </row>
    <row r="207" spans="2:21">
      <c r="B207" s="1567" t="s">
        <v>1507</v>
      </c>
      <c r="C207" s="168"/>
      <c r="D207" s="168" t="s">
        <v>1475</v>
      </c>
      <c r="E207" s="1247">
        <v>747</v>
      </c>
      <c r="I207" s="215"/>
      <c r="U207" s="1440" t="s">
        <v>1441</v>
      </c>
    </row>
    <row r="208" spans="2:21">
      <c r="B208" s="168" t="s">
        <v>1510</v>
      </c>
      <c r="C208" s="168"/>
      <c r="D208" s="168" t="s">
        <v>1475</v>
      </c>
      <c r="E208" s="1247">
        <v>576</v>
      </c>
      <c r="I208" s="215"/>
      <c r="U208" s="1440" t="s">
        <v>1441</v>
      </c>
    </row>
    <row r="209" spans="2:21">
      <c r="B209" s="168" t="s">
        <v>1511</v>
      </c>
      <c r="C209" s="168"/>
      <c r="D209" s="168" t="s">
        <v>1475</v>
      </c>
      <c r="E209" s="1247">
        <v>980</v>
      </c>
      <c r="I209" s="215"/>
      <c r="U209" s="1440" t="s">
        <v>1441</v>
      </c>
    </row>
    <row r="210" spans="2:21">
      <c r="B210" s="168" t="s">
        <v>1512</v>
      </c>
      <c r="C210" s="168"/>
      <c r="D210" s="168" t="s">
        <v>1475</v>
      </c>
      <c r="E210" s="1247">
        <v>277</v>
      </c>
      <c r="I210" s="215"/>
      <c r="U210" s="1440" t="s">
        <v>1441</v>
      </c>
    </row>
    <row r="211" spans="2:21">
      <c r="B211" s="168" t="s">
        <v>1513</v>
      </c>
      <c r="C211" s="168"/>
      <c r="D211" s="168" t="s">
        <v>1475</v>
      </c>
      <c r="E211" s="1565">
        <v>460</v>
      </c>
      <c r="I211" s="215"/>
      <c r="U211" s="1440" t="s">
        <v>1441</v>
      </c>
    </row>
    <row r="212" spans="2:21">
      <c r="B212" s="168" t="s">
        <v>1514</v>
      </c>
      <c r="C212" s="168"/>
      <c r="D212" s="168" t="s">
        <v>1475</v>
      </c>
      <c r="E212" s="1565" t="s">
        <v>2461</v>
      </c>
      <c r="I212" s="215"/>
      <c r="U212" s="1440" t="s">
        <v>1441</v>
      </c>
    </row>
    <row r="213" spans="2:21">
      <c r="B213" s="168" t="s">
        <v>1515</v>
      </c>
      <c r="C213" s="168"/>
      <c r="D213" s="168" t="s">
        <v>1475</v>
      </c>
      <c r="E213" s="1247">
        <v>3220</v>
      </c>
      <c r="I213" s="218"/>
      <c r="U213" s="1440" t="s">
        <v>1441</v>
      </c>
    </row>
    <row r="214" spans="2:21">
      <c r="B214" s="168" t="s">
        <v>1516</v>
      </c>
      <c r="C214" s="168"/>
      <c r="D214" s="168" t="s">
        <v>1475</v>
      </c>
      <c r="E214" s="1247">
        <v>6060</v>
      </c>
      <c r="I214" s="218"/>
      <c r="U214" s="1440" t="s">
        <v>1441</v>
      </c>
    </row>
    <row r="215" spans="2:21">
      <c r="B215" s="168" t="s">
        <v>1517</v>
      </c>
      <c r="C215" s="168"/>
      <c r="D215" s="168" t="s">
        <v>1475</v>
      </c>
      <c r="E215" s="1247">
        <v>3320</v>
      </c>
      <c r="I215" s="218"/>
      <c r="U215" s="1440" t="s">
        <v>1441</v>
      </c>
    </row>
    <row r="216" spans="2:21">
      <c r="B216" s="1821" t="s">
        <v>1518</v>
      </c>
      <c r="C216" s="1822"/>
      <c r="D216" s="1822"/>
      <c r="E216" s="1823"/>
      <c r="U216" s="1440" t="s">
        <v>1441</v>
      </c>
    </row>
    <row r="217" spans="2:21">
      <c r="B217" s="168" t="s">
        <v>1519</v>
      </c>
      <c r="C217" s="168"/>
      <c r="D217" s="168" t="s">
        <v>1475</v>
      </c>
      <c r="E217" s="80">
        <v>10300</v>
      </c>
      <c r="I217" s="218"/>
      <c r="U217" s="1440" t="s">
        <v>1441</v>
      </c>
    </row>
    <row r="218" spans="2:21">
      <c r="B218" s="1821" t="s">
        <v>1520</v>
      </c>
      <c r="C218" s="1822"/>
      <c r="D218" s="1822"/>
      <c r="E218" s="1823"/>
      <c r="U218" s="1440" t="s">
        <v>1441</v>
      </c>
    </row>
    <row r="219" spans="2:21">
      <c r="B219" s="168" t="s">
        <v>1521</v>
      </c>
      <c r="C219" s="168"/>
      <c r="D219" s="168" t="s">
        <v>1475</v>
      </c>
      <c r="E219" s="166"/>
      <c r="I219" s="215"/>
      <c r="U219" s="1440" t="s">
        <v>1441</v>
      </c>
    </row>
    <row r="220" spans="2:21">
      <c r="B220" s="168" t="s">
        <v>1522</v>
      </c>
      <c r="C220" s="168"/>
      <c r="D220" s="168" t="s">
        <v>1475</v>
      </c>
      <c r="E220" s="1565">
        <v>11.2</v>
      </c>
      <c r="I220" s="215"/>
      <c r="U220" s="1440" t="s">
        <v>1441</v>
      </c>
    </row>
    <row r="221" spans="2:21">
      <c r="B221" s="168" t="s">
        <v>1523</v>
      </c>
      <c r="C221" s="168"/>
      <c r="D221" s="168" t="s">
        <v>1475</v>
      </c>
      <c r="E221" s="1565">
        <v>5</v>
      </c>
      <c r="I221" s="215"/>
      <c r="U221" s="1440" t="s">
        <v>1441</v>
      </c>
    </row>
    <row r="222" spans="2:21">
      <c r="B222" s="1445" t="s">
        <v>1524</v>
      </c>
      <c r="C222" s="1446"/>
      <c r="D222" s="1446" t="s">
        <v>1475</v>
      </c>
      <c r="E222" s="80">
        <v>380</v>
      </c>
      <c r="I222" s="215"/>
      <c r="U222" s="1440" t="s">
        <v>1441</v>
      </c>
    </row>
    <row r="223" spans="2:21">
      <c r="B223" s="1821" t="s">
        <v>1525</v>
      </c>
      <c r="C223" s="1822"/>
      <c r="D223" s="1822"/>
      <c r="E223" s="1823"/>
    </row>
    <row r="224" spans="2:21">
      <c r="B224" s="219" t="s">
        <v>1526</v>
      </c>
      <c r="C224" s="220" t="s">
        <v>1527</v>
      </c>
      <c r="D224" s="219" t="s">
        <v>1475</v>
      </c>
      <c r="E224" s="220" t="s">
        <v>1528</v>
      </c>
    </row>
    <row r="225" spans="2:9" ht="30">
      <c r="B225" s="168" t="s">
        <v>1529</v>
      </c>
      <c r="C225" s="168" t="s">
        <v>1530</v>
      </c>
      <c r="D225" s="168" t="s">
        <v>1475</v>
      </c>
      <c r="E225" s="1574">
        <f>0.44*D150+0.52*D154+0.04*D152</f>
        <v>4728</v>
      </c>
      <c r="I225" s="222"/>
    </row>
    <row r="226" spans="2:9" ht="30">
      <c r="B226" s="168" t="s">
        <v>1531</v>
      </c>
      <c r="C226" s="168" t="s">
        <v>1532</v>
      </c>
      <c r="D226" s="168" t="s">
        <v>1475</v>
      </c>
      <c r="E226" s="1574">
        <f>0.55*E189+0.04*0.006+0.41*E193</f>
        <v>2021.0002400000001</v>
      </c>
      <c r="I226" s="222"/>
    </row>
    <row r="227" spans="2:9" ht="30">
      <c r="B227" s="168" t="s">
        <v>1533</v>
      </c>
      <c r="C227" s="168" t="s">
        <v>1534</v>
      </c>
      <c r="D227" s="168" t="s">
        <v>1475</v>
      </c>
      <c r="E227" s="1574">
        <f>0.23*D147+0.25*D150+0.52*D152</f>
        <v>1907.9299999999998</v>
      </c>
      <c r="I227" s="222"/>
    </row>
    <row r="228" spans="2:9" ht="30">
      <c r="B228" s="168" t="s">
        <v>1535</v>
      </c>
      <c r="C228" s="168" t="s">
        <v>1536</v>
      </c>
      <c r="D228" s="168" t="s">
        <v>1475</v>
      </c>
      <c r="E228" s="1574">
        <f>0.3*D147+0.3*D150+0.4*D152</f>
        <v>1965.3</v>
      </c>
      <c r="I228" s="222"/>
    </row>
    <row r="229" spans="2:9" ht="30">
      <c r="B229" s="168" t="s">
        <v>1537</v>
      </c>
      <c r="C229" s="168" t="s">
        <v>1538</v>
      </c>
      <c r="D229" s="168" t="s">
        <v>1475</v>
      </c>
      <c r="E229" s="1574">
        <f>0.07*D150+0.46*D154+E189*0.47</f>
        <v>3855.6</v>
      </c>
      <c r="I229" s="222"/>
    </row>
    <row r="230" spans="2:9" ht="30">
      <c r="B230" s="168" t="s">
        <v>1539</v>
      </c>
      <c r="C230" s="168" t="s">
        <v>1540</v>
      </c>
      <c r="D230" s="168" t="s">
        <v>1475</v>
      </c>
      <c r="E230" s="1574">
        <f>0.6*E189+0.25*E191+0.15*E193</f>
        <v>1670.25</v>
      </c>
      <c r="I230" s="222"/>
    </row>
    <row r="231" spans="2:9" ht="30">
      <c r="B231" s="168" t="s">
        <v>1541</v>
      </c>
      <c r="C231" s="168" t="s">
        <v>1542</v>
      </c>
      <c r="D231" s="168" t="s">
        <v>1475</v>
      </c>
      <c r="E231" s="1574">
        <f>0.65*E189+0.25*E191+0.1*E193</f>
        <v>1653.25</v>
      </c>
      <c r="I231" s="222"/>
    </row>
    <row r="232" spans="2:9">
      <c r="B232" s="168" t="s">
        <v>1543</v>
      </c>
      <c r="C232" s="168" t="s">
        <v>1544</v>
      </c>
      <c r="D232" s="168" t="s">
        <v>1475</v>
      </c>
      <c r="E232" s="1574">
        <f>0.5*D147+0.5*D150</f>
        <v>2255.5</v>
      </c>
      <c r="I232" s="222"/>
    </row>
    <row r="233" spans="2:9">
      <c r="B233" s="168" t="s">
        <v>1545</v>
      </c>
      <c r="C233" s="168" t="s">
        <v>1546</v>
      </c>
      <c r="D233" s="168" t="s">
        <v>1475</v>
      </c>
      <c r="E233" s="1577">
        <f>0.56*0.02+0.44*0.006</f>
        <v>1.3840000000000002E-2</v>
      </c>
      <c r="I233" s="224"/>
    </row>
    <row r="234" spans="2:9">
      <c r="B234" s="168" t="s">
        <v>1547</v>
      </c>
      <c r="C234" s="168" t="s">
        <v>1548</v>
      </c>
      <c r="D234" s="168" t="s">
        <v>1475</v>
      </c>
      <c r="E234" s="1577">
        <f>0.52*0.02+0.48*0.006</f>
        <v>1.328E-2</v>
      </c>
      <c r="I234" s="224"/>
    </row>
    <row r="235" spans="2:9">
      <c r="B235" s="1821" t="s">
        <v>1549</v>
      </c>
      <c r="C235" s="1822"/>
      <c r="D235" s="1822"/>
      <c r="E235" s="1823"/>
    </row>
    <row r="236" spans="2:9" ht="30">
      <c r="B236" s="219" t="s">
        <v>1526</v>
      </c>
      <c r="C236" s="220" t="s">
        <v>1527</v>
      </c>
      <c r="D236" s="219" t="s">
        <v>1475</v>
      </c>
      <c r="E236" s="220" t="s">
        <v>1528</v>
      </c>
      <c r="G236" s="1568"/>
    </row>
    <row r="237" spans="2:9">
      <c r="B237" s="168" t="s">
        <v>1550</v>
      </c>
      <c r="C237" s="168" t="s">
        <v>1551</v>
      </c>
      <c r="D237" s="225" t="s">
        <v>1475</v>
      </c>
      <c r="E237" s="1575">
        <f>0.5*D150+0.5*D154</f>
        <v>4775</v>
      </c>
      <c r="I237" s="227"/>
    </row>
    <row r="238" spans="2:9">
      <c r="B238" s="1875" t="s">
        <v>1552</v>
      </c>
      <c r="C238" s="1876"/>
      <c r="D238" s="1876"/>
      <c r="E238" s="1877"/>
    </row>
    <row r="239" spans="2:9" ht="18">
      <c r="B239" s="228" t="s">
        <v>1553</v>
      </c>
      <c r="C239" s="228" t="s">
        <v>1554</v>
      </c>
      <c r="D239" s="228" t="s">
        <v>1475</v>
      </c>
      <c r="E239" s="1247">
        <v>195</v>
      </c>
      <c r="F239" s="167"/>
    </row>
    <row r="240" spans="2:9" ht="18">
      <c r="B240" s="228" t="s">
        <v>1555</v>
      </c>
      <c r="C240" s="228" t="s">
        <v>1556</v>
      </c>
      <c r="D240" s="228" t="s">
        <v>1475</v>
      </c>
      <c r="E240" s="1247">
        <v>539</v>
      </c>
      <c r="F240" s="167"/>
    </row>
    <row r="241" spans="1:21" ht="18">
      <c r="B241" s="228" t="s">
        <v>1557</v>
      </c>
      <c r="C241" s="228" t="s">
        <v>1558</v>
      </c>
      <c r="D241" s="228" t="s">
        <v>1475</v>
      </c>
      <c r="E241" s="1247">
        <v>2590</v>
      </c>
      <c r="F241" s="167"/>
    </row>
    <row r="242" spans="1:21">
      <c r="B242" s="229" t="s">
        <v>1559</v>
      </c>
      <c r="C242" s="230" t="s">
        <v>1527</v>
      </c>
      <c r="D242" s="231" t="s">
        <v>1475</v>
      </c>
      <c r="E242" s="230" t="s">
        <v>1528</v>
      </c>
      <c r="F242" s="167"/>
    </row>
    <row r="243" spans="1:21" ht="18">
      <c r="B243" s="228" t="s">
        <v>1560</v>
      </c>
      <c r="C243" s="228" t="s">
        <v>1561</v>
      </c>
      <c r="D243" s="228" t="s">
        <v>1475</v>
      </c>
      <c r="E243" s="1576">
        <f>0.5*D143+0.5*0</f>
        <v>136.5</v>
      </c>
      <c r="F243" s="167"/>
    </row>
    <row r="244" spans="1:21">
      <c r="A244" s="10" t="s">
        <v>1434</v>
      </c>
    </row>
    <row r="246" spans="1:21" ht="23.25">
      <c r="A246" s="1802" t="s">
        <v>83</v>
      </c>
      <c r="B246" s="1803"/>
      <c r="C246" s="1803"/>
      <c r="D246" s="1803"/>
      <c r="E246" s="1803"/>
      <c r="F246" s="1803"/>
      <c r="G246" s="1803"/>
      <c r="H246" s="1803"/>
      <c r="I246" s="1803"/>
      <c r="J246" s="1803"/>
      <c r="K246" s="1803"/>
      <c r="L246" s="1803"/>
      <c r="M246" s="1803"/>
      <c r="N246" s="1803"/>
      <c r="O246" s="1803"/>
      <c r="P246" s="1803"/>
      <c r="Q246" s="1804"/>
    </row>
    <row r="248" spans="1:21" ht="29.25" customHeight="1" thickBot="1">
      <c r="A248" s="589" t="s">
        <v>1562</v>
      </c>
    </row>
    <row r="249" spans="1:21" ht="30">
      <c r="A249" s="1824" t="s">
        <v>1308</v>
      </c>
      <c r="B249" s="592" t="s">
        <v>1309</v>
      </c>
      <c r="C249" s="592" t="s">
        <v>1310</v>
      </c>
      <c r="D249" s="592" t="s">
        <v>1310</v>
      </c>
      <c r="E249" s="592" t="s">
        <v>1310</v>
      </c>
      <c r="F249" s="592" t="s">
        <v>1310</v>
      </c>
      <c r="G249" s="592" t="s">
        <v>1349</v>
      </c>
    </row>
    <row r="250" spans="1:21" ht="18">
      <c r="A250" s="1825"/>
      <c r="B250" s="593" t="s">
        <v>1563</v>
      </c>
      <c r="C250" s="593" t="s">
        <v>1312</v>
      </c>
      <c r="D250" s="593" t="s">
        <v>1312</v>
      </c>
      <c r="E250" s="593" t="s">
        <v>1312</v>
      </c>
      <c r="F250" s="593" t="s">
        <v>1312</v>
      </c>
      <c r="G250" s="593" t="s">
        <v>1351</v>
      </c>
    </row>
    <row r="251" spans="1:21" ht="18.75" thickBot="1">
      <c r="A251" s="1826"/>
      <c r="B251" s="594"/>
      <c r="C251" s="595" t="s">
        <v>1313</v>
      </c>
      <c r="D251" s="595" t="s">
        <v>1314</v>
      </c>
      <c r="E251" s="595" t="s">
        <v>1315</v>
      </c>
      <c r="F251" s="595" t="s">
        <v>1316</v>
      </c>
      <c r="G251" s="594"/>
    </row>
    <row r="252" spans="1:21" ht="15.75" thickBot="1">
      <c r="A252" s="590" t="s">
        <v>1564</v>
      </c>
      <c r="B252" s="596">
        <v>27</v>
      </c>
      <c r="C252" s="591">
        <v>94.6</v>
      </c>
      <c r="D252" s="591">
        <v>0.3</v>
      </c>
      <c r="E252" s="591">
        <v>1.5E-3</v>
      </c>
      <c r="F252" s="591">
        <f>C252+D252+E252</f>
        <v>94.901499999999984</v>
      </c>
      <c r="G252" s="591">
        <v>3</v>
      </c>
      <c r="H252" t="s">
        <v>1361</v>
      </c>
      <c r="U252" s="1440" t="s">
        <v>1565</v>
      </c>
    </row>
    <row r="253" spans="1:21" ht="15.75" thickBot="1">
      <c r="A253" s="590" t="s">
        <v>1566</v>
      </c>
      <c r="B253" s="596">
        <v>21</v>
      </c>
      <c r="C253" s="591">
        <v>96.1</v>
      </c>
      <c r="D253" s="591">
        <v>0.3</v>
      </c>
      <c r="E253" s="591">
        <v>1.5E-3</v>
      </c>
      <c r="F253" s="591">
        <f t="shared" ref="F253:F260" si="7">C253+D253+E253</f>
        <v>96.401499999999984</v>
      </c>
      <c r="G253" s="591">
        <v>2.5</v>
      </c>
      <c r="H253" t="s">
        <v>1361</v>
      </c>
      <c r="U253" s="1440" t="s">
        <v>1565</v>
      </c>
    </row>
    <row r="254" spans="1:21" ht="15.75" thickBot="1">
      <c r="A254" s="590" t="s">
        <v>1567</v>
      </c>
      <c r="B254" s="596">
        <v>29</v>
      </c>
      <c r="C254" s="591">
        <v>98.3</v>
      </c>
      <c r="D254" s="591">
        <v>0.3</v>
      </c>
      <c r="E254" s="591">
        <v>1.5E-3</v>
      </c>
      <c r="F254" s="591">
        <f t="shared" si="7"/>
        <v>98.601499999999987</v>
      </c>
      <c r="G254" s="591" t="s">
        <v>1360</v>
      </c>
      <c r="H254" t="s">
        <v>1361</v>
      </c>
      <c r="U254" s="1440" t="s">
        <v>1565</v>
      </c>
    </row>
    <row r="255" spans="1:21" ht="15.75" thickBot="1">
      <c r="A255" s="590" t="s">
        <v>1568</v>
      </c>
      <c r="B255" s="596">
        <v>10.199999999999999</v>
      </c>
      <c r="C255" s="591">
        <v>97.5</v>
      </c>
      <c r="D255" s="591">
        <v>0.3</v>
      </c>
      <c r="E255" s="591">
        <v>1.5E-3</v>
      </c>
      <c r="F255" s="591">
        <f t="shared" si="7"/>
        <v>97.80149999999999</v>
      </c>
      <c r="G255" s="591">
        <v>0.4</v>
      </c>
      <c r="H255" t="s">
        <v>1361</v>
      </c>
      <c r="U255" s="1440" t="s">
        <v>1565</v>
      </c>
    </row>
    <row r="256" spans="1:21" ht="15.75" thickBot="1">
      <c r="A256" s="590" t="s">
        <v>1569</v>
      </c>
      <c r="B256" s="596">
        <v>30</v>
      </c>
      <c r="C256" s="591">
        <v>94.6</v>
      </c>
      <c r="D256" s="591">
        <v>0.3</v>
      </c>
      <c r="E256" s="591">
        <v>1.5E-3</v>
      </c>
      <c r="F256" s="591">
        <f t="shared" si="7"/>
        <v>94.901499999999984</v>
      </c>
      <c r="G256" s="591">
        <v>6.4</v>
      </c>
      <c r="H256" t="s">
        <v>1361</v>
      </c>
      <c r="U256" s="1440" t="s">
        <v>1565</v>
      </c>
    </row>
    <row r="257" spans="1:21" ht="15.75" thickBot="1">
      <c r="A257" s="590" t="s">
        <v>1570</v>
      </c>
      <c r="B257" s="596">
        <v>22.1</v>
      </c>
      <c r="C257" s="591">
        <v>97.5</v>
      </c>
      <c r="D257" s="591">
        <v>0.3</v>
      </c>
      <c r="E257" s="591">
        <v>1.5E-3</v>
      </c>
      <c r="F257" s="591">
        <f t="shared" si="7"/>
        <v>97.80149999999999</v>
      </c>
      <c r="G257" s="591" t="s">
        <v>1360</v>
      </c>
      <c r="H257" t="s">
        <v>1361</v>
      </c>
      <c r="U257" s="1440" t="s">
        <v>1565</v>
      </c>
    </row>
    <row r="258" spans="1:21" ht="15.75" thickBot="1">
      <c r="A258" s="590" t="s">
        <v>1571</v>
      </c>
      <c r="B258" s="596">
        <v>27</v>
      </c>
      <c r="C258" s="591">
        <v>107</v>
      </c>
      <c r="D258" s="591">
        <v>0.3</v>
      </c>
      <c r="E258" s="591">
        <v>1.5E-3</v>
      </c>
      <c r="F258" s="591">
        <f t="shared" si="7"/>
        <v>107.30149999999999</v>
      </c>
      <c r="G258" s="591" t="s">
        <v>1360</v>
      </c>
      <c r="H258" t="s">
        <v>1361</v>
      </c>
      <c r="U258" s="1440" t="s">
        <v>1565</v>
      </c>
    </row>
    <row r="259" spans="1:21" ht="15.75" thickBot="1">
      <c r="A259" s="590" t="s">
        <v>1572</v>
      </c>
      <c r="B259" s="596">
        <v>37.5</v>
      </c>
      <c r="C259" s="591">
        <v>81.8</v>
      </c>
      <c r="D259" s="591">
        <v>0.03</v>
      </c>
      <c r="E259" s="591">
        <v>0.2</v>
      </c>
      <c r="F259" s="591">
        <f t="shared" si="7"/>
        <v>82.03</v>
      </c>
      <c r="G259" s="591" t="s">
        <v>1360</v>
      </c>
      <c r="H259" t="s">
        <v>1361</v>
      </c>
      <c r="U259" s="1440" t="s">
        <v>1565</v>
      </c>
    </row>
    <row r="260" spans="1:21" ht="30.75" thickBot="1">
      <c r="A260" s="590" t="s">
        <v>1573</v>
      </c>
      <c r="B260" s="596">
        <v>22.1</v>
      </c>
      <c r="C260" s="591">
        <v>95</v>
      </c>
      <c r="D260" s="591">
        <v>0.08</v>
      </c>
      <c r="E260" s="591">
        <v>0.2</v>
      </c>
      <c r="F260" s="591">
        <f t="shared" si="7"/>
        <v>95.28</v>
      </c>
      <c r="G260" s="591" t="s">
        <v>1360</v>
      </c>
      <c r="H260" t="s">
        <v>1361</v>
      </c>
      <c r="U260" s="1440" t="s">
        <v>1565</v>
      </c>
    </row>
    <row r="261" spans="1:21" ht="60.75" hidden="1" thickBot="1">
      <c r="A261" s="590" t="s">
        <v>1574</v>
      </c>
      <c r="B261" s="596">
        <v>26.3</v>
      </c>
      <c r="C261" s="591"/>
      <c r="D261" s="591"/>
      <c r="E261" s="591"/>
      <c r="F261" s="591"/>
      <c r="G261" s="591" t="s">
        <v>1360</v>
      </c>
      <c r="U261" s="1440" t="s">
        <v>1565</v>
      </c>
    </row>
    <row r="262" spans="1:21" ht="45.75" hidden="1" thickBot="1">
      <c r="A262" s="590" t="s">
        <v>1575</v>
      </c>
      <c r="B262" s="596">
        <v>32</v>
      </c>
      <c r="C262" s="591"/>
      <c r="D262" s="591"/>
      <c r="E262" s="591"/>
      <c r="F262" s="591"/>
      <c r="G262" s="591" t="s">
        <v>1360</v>
      </c>
      <c r="U262" s="1440" t="s">
        <v>1565</v>
      </c>
    </row>
    <row r="263" spans="1:21" ht="45.75" hidden="1" thickBot="1">
      <c r="A263" s="590" t="s">
        <v>1576</v>
      </c>
      <c r="B263" s="596">
        <v>27.1</v>
      </c>
      <c r="C263" s="591"/>
      <c r="D263" s="591"/>
      <c r="E263" s="591"/>
      <c r="F263" s="591"/>
      <c r="G263" s="591" t="s">
        <v>1360</v>
      </c>
      <c r="U263" s="1440" t="s">
        <v>1565</v>
      </c>
    </row>
    <row r="264" spans="1:21" ht="45.75" hidden="1" thickBot="1">
      <c r="A264" s="590" t="s">
        <v>1577</v>
      </c>
      <c r="B264" s="596">
        <v>10.5</v>
      </c>
      <c r="C264" s="591"/>
      <c r="D264" s="591"/>
      <c r="E264" s="591"/>
      <c r="F264" s="591"/>
      <c r="G264" s="591" t="s">
        <v>1360</v>
      </c>
      <c r="U264" s="1440" t="s">
        <v>1565</v>
      </c>
    </row>
    <row r="265" spans="1:21" ht="15.75" thickBot="1">
      <c r="A265" s="590" t="s">
        <v>1578</v>
      </c>
      <c r="B265" s="596">
        <v>16.2</v>
      </c>
      <c r="C265" s="591">
        <v>112</v>
      </c>
      <c r="D265" s="591">
        <v>0.3</v>
      </c>
      <c r="E265" s="591">
        <v>4.0000000000000001E-3</v>
      </c>
      <c r="F265" s="591">
        <f t="shared" ref="F265:F271" si="8">C265+D265+E265</f>
        <v>112.304</v>
      </c>
      <c r="G265" s="591" t="s">
        <v>1360</v>
      </c>
      <c r="H265" t="s">
        <v>1361</v>
      </c>
      <c r="U265" s="1440" t="s">
        <v>1565</v>
      </c>
    </row>
    <row r="266" spans="1:21" ht="15.75" thickBot="1">
      <c r="A266" s="686" t="s">
        <v>1579</v>
      </c>
      <c r="B266" s="1502">
        <v>10.4</v>
      </c>
      <c r="C266" s="1439">
        <v>107.7</v>
      </c>
      <c r="D266" s="1439">
        <v>0.1</v>
      </c>
      <c r="E266" s="1439">
        <v>1.1000000000000001</v>
      </c>
      <c r="F266" s="591">
        <f t="shared" si="8"/>
        <v>108.89999999999999</v>
      </c>
      <c r="G266" s="615" t="s">
        <v>1360</v>
      </c>
      <c r="H266" t="s">
        <v>1361</v>
      </c>
      <c r="U266" s="1440" t="s">
        <v>1565</v>
      </c>
    </row>
    <row r="267" spans="1:21" ht="15.75" thickBot="1">
      <c r="A267" s="590" t="s">
        <v>1580</v>
      </c>
      <c r="B267" s="596">
        <v>12.4</v>
      </c>
      <c r="C267" s="591">
        <v>95.3</v>
      </c>
      <c r="D267" s="591">
        <v>3.0000000000000001E-3</v>
      </c>
      <c r="E267" s="591">
        <v>2E-3</v>
      </c>
      <c r="F267" s="591">
        <f t="shared" si="8"/>
        <v>95.304999999999993</v>
      </c>
      <c r="G267" s="591" t="s">
        <v>1360</v>
      </c>
      <c r="H267" t="s">
        <v>1361</v>
      </c>
      <c r="U267" s="1440" t="s">
        <v>1565</v>
      </c>
    </row>
    <row r="268" spans="1:21" ht="15.75" thickBot="1">
      <c r="A268" s="590" t="s">
        <v>1581</v>
      </c>
      <c r="B268" s="596">
        <v>9.6</v>
      </c>
      <c r="C268" s="591">
        <v>118.9</v>
      </c>
      <c r="D268" s="591">
        <v>0.3</v>
      </c>
      <c r="E268" s="591">
        <v>1.1000000000000001</v>
      </c>
      <c r="F268" s="591">
        <f t="shared" si="8"/>
        <v>120.3</v>
      </c>
      <c r="G268" s="591" t="s">
        <v>1360</v>
      </c>
      <c r="H268" t="s">
        <v>1361</v>
      </c>
      <c r="U268" s="1440" t="s">
        <v>1565</v>
      </c>
    </row>
    <row r="269" spans="1:21" ht="45.75" thickBot="1">
      <c r="A269" s="590" t="s">
        <v>1582</v>
      </c>
      <c r="B269" s="596">
        <v>12.2</v>
      </c>
      <c r="C269" s="591">
        <v>100</v>
      </c>
      <c r="D269" s="591">
        <v>0.3</v>
      </c>
      <c r="E269" s="591">
        <v>4.0000000000000001E-3</v>
      </c>
      <c r="F269" s="591">
        <f t="shared" si="8"/>
        <v>100.304</v>
      </c>
      <c r="G269" s="591" t="s">
        <v>1360</v>
      </c>
      <c r="H269" t="s">
        <v>1361</v>
      </c>
      <c r="U269" s="1440" t="s">
        <v>1565</v>
      </c>
    </row>
    <row r="270" spans="1:21" ht="15.75" thickBot="1">
      <c r="A270" s="590" t="s">
        <v>1583</v>
      </c>
      <c r="B270" s="596">
        <v>31.1</v>
      </c>
      <c r="C270" s="591">
        <v>112</v>
      </c>
      <c r="D270" s="591">
        <v>0.2</v>
      </c>
      <c r="E270" s="591">
        <v>1E-3</v>
      </c>
      <c r="F270" s="591">
        <f t="shared" si="8"/>
        <v>112.20100000000001</v>
      </c>
      <c r="G270" s="591" t="s">
        <v>1360</v>
      </c>
      <c r="H270" t="s">
        <v>1361</v>
      </c>
      <c r="U270" s="1440" t="s">
        <v>1565</v>
      </c>
    </row>
    <row r="271" spans="1:21" ht="45.75" thickBot="1">
      <c r="A271" s="590" t="s">
        <v>1584</v>
      </c>
      <c r="B271" s="596">
        <v>12.2</v>
      </c>
      <c r="C271" s="591">
        <v>100</v>
      </c>
      <c r="D271" s="591">
        <v>0.3</v>
      </c>
      <c r="E271" s="591">
        <v>4.0000000000000001E-3</v>
      </c>
      <c r="F271" s="591">
        <f t="shared" si="8"/>
        <v>100.304</v>
      </c>
      <c r="G271" s="591" t="s">
        <v>1360</v>
      </c>
      <c r="H271" t="s">
        <v>1361</v>
      </c>
      <c r="U271" s="1440" t="s">
        <v>1565</v>
      </c>
    </row>
    <row r="272" spans="1:21">
      <c r="A272" s="10"/>
    </row>
    <row r="273" spans="1:23" ht="23.25">
      <c r="A273" s="1802" t="s">
        <v>88</v>
      </c>
      <c r="B273" s="1803"/>
      <c r="C273" s="1803"/>
      <c r="D273" s="1803"/>
      <c r="E273" s="1803"/>
      <c r="F273" s="1803"/>
      <c r="G273" s="1803"/>
      <c r="H273" s="1803"/>
      <c r="I273" s="1803"/>
      <c r="J273" s="1803"/>
      <c r="K273" s="1803"/>
      <c r="L273" s="1803"/>
      <c r="M273" s="1803"/>
      <c r="N273" s="1803"/>
      <c r="O273" s="1803"/>
      <c r="P273" s="1803"/>
      <c r="Q273" s="1804"/>
    </row>
    <row r="275" spans="1:23" ht="31.5">
      <c r="A275" s="260" t="s">
        <v>700</v>
      </c>
      <c r="B275" s="260" t="s">
        <v>701</v>
      </c>
      <c r="C275" s="289" t="s">
        <v>1585</v>
      </c>
    </row>
    <row r="276" spans="1:23" ht="15.75">
      <c r="A276" s="263" t="s">
        <v>703</v>
      </c>
      <c r="B276" s="265" t="s">
        <v>1586</v>
      </c>
      <c r="C276" s="290">
        <v>5.0646000000000004</v>
      </c>
      <c r="U276" s="1440" t="s">
        <v>1587</v>
      </c>
    </row>
    <row r="277" spans="1:23" ht="15.75">
      <c r="A277" s="263" t="s">
        <v>706</v>
      </c>
      <c r="B277" s="265" t="s">
        <v>1586</v>
      </c>
      <c r="C277" s="290">
        <v>5.65</v>
      </c>
      <c r="U277" s="1440" t="s">
        <v>1587</v>
      </c>
    </row>
    <row r="278" spans="1:23" s="22" customFormat="1" ht="15.75">
      <c r="A278"/>
      <c r="B278"/>
      <c r="C278"/>
      <c r="D278"/>
      <c r="E278"/>
      <c r="F278"/>
      <c r="G278"/>
      <c r="H278"/>
      <c r="I278"/>
      <c r="J278"/>
      <c r="K278"/>
      <c r="L278"/>
      <c r="M278"/>
      <c r="N278"/>
      <c r="O278"/>
      <c r="P278"/>
      <c r="Q278"/>
      <c r="U278" s="1441"/>
      <c r="V278" s="261"/>
      <c r="W278" s="261"/>
    </row>
    <row r="279" spans="1:23" s="22" customFormat="1" ht="15.75">
      <c r="A279" s="255" t="s">
        <v>1588</v>
      </c>
      <c r="J279" s="264"/>
      <c r="U279" s="1441"/>
      <c r="V279" s="261"/>
      <c r="W279" s="261"/>
    </row>
    <row r="280" spans="1:23" s="22" customFormat="1" ht="15.75">
      <c r="A280" s="251"/>
      <c r="J280" s="264"/>
      <c r="U280" s="1441"/>
      <c r="V280" s="261"/>
      <c r="W280" s="261"/>
    </row>
    <row r="281" spans="1:23" s="22" customFormat="1" ht="15.75">
      <c r="A281" s="251"/>
      <c r="J281" s="264"/>
      <c r="U281" s="1441"/>
      <c r="V281" s="261"/>
      <c r="W281" s="261"/>
    </row>
    <row r="282" spans="1:23" s="22" customFormat="1" ht="15.75">
      <c r="A282" s="251"/>
      <c r="J282" s="264"/>
      <c r="U282" s="1441"/>
      <c r="V282" s="261"/>
      <c r="W282" s="261"/>
    </row>
    <row r="283" spans="1:23" s="22" customFormat="1" ht="15.75">
      <c r="A283" s="251"/>
      <c r="J283" s="264"/>
      <c r="U283" s="1441"/>
      <c r="V283" s="261"/>
      <c r="W283" s="261"/>
    </row>
    <row r="284" spans="1:23" s="22" customFormat="1" ht="15.75">
      <c r="A284" s="251"/>
      <c r="J284" s="264"/>
      <c r="U284" s="1441"/>
      <c r="V284" s="261"/>
      <c r="W284" s="261"/>
    </row>
    <row r="285" spans="1:23" s="22" customFormat="1" ht="15.75">
      <c r="A285" s="251"/>
      <c r="J285" s="264"/>
      <c r="U285" s="1441"/>
      <c r="V285" s="261"/>
      <c r="W285" s="261"/>
    </row>
    <row r="286" spans="1:23" s="22" customFormat="1" ht="15.75">
      <c r="A286" s="251"/>
      <c r="J286" s="264"/>
      <c r="U286" s="1441"/>
      <c r="V286" s="261"/>
      <c r="W286" s="261"/>
    </row>
    <row r="287" spans="1:23" s="22" customFormat="1" ht="15.75">
      <c r="A287" s="251"/>
      <c r="J287" s="264"/>
      <c r="U287" s="1441"/>
      <c r="V287" s="261"/>
      <c r="W287" s="261"/>
    </row>
    <row r="288" spans="1:23" s="22" customFormat="1" ht="15.75">
      <c r="A288" s="251"/>
      <c r="J288" s="264"/>
      <c r="U288" s="1441"/>
      <c r="V288" s="261"/>
      <c r="W288" s="261"/>
    </row>
    <row r="289" spans="1:23" s="22" customFormat="1" ht="15.75">
      <c r="A289" s="251"/>
      <c r="J289" s="264"/>
      <c r="U289" s="1441"/>
      <c r="V289" s="261"/>
      <c r="W289" s="261"/>
    </row>
    <row r="290" spans="1:23" s="22" customFormat="1" ht="15.75">
      <c r="A290" s="251"/>
      <c r="J290" s="264"/>
      <c r="U290" s="1441"/>
      <c r="V290" s="261"/>
      <c r="W290" s="261"/>
    </row>
    <row r="291" spans="1:23" s="22" customFormat="1" ht="15.75">
      <c r="A291" s="251"/>
      <c r="J291" s="264"/>
      <c r="U291" s="1441"/>
      <c r="V291" s="261"/>
      <c r="W291" s="261"/>
    </row>
    <row r="292" spans="1:23" s="22" customFormat="1" ht="15.75">
      <c r="A292" s="251"/>
      <c r="J292" s="264"/>
      <c r="U292" s="1441"/>
      <c r="V292" s="261"/>
      <c r="W292" s="261"/>
    </row>
    <row r="293" spans="1:23" s="22" customFormat="1" ht="15.75">
      <c r="A293" s="251"/>
      <c r="J293" s="264"/>
      <c r="U293" s="1441"/>
      <c r="V293" s="261"/>
      <c r="W293" s="261"/>
    </row>
    <row r="294" spans="1:23" s="22" customFormat="1" ht="15.75">
      <c r="A294" s="251"/>
      <c r="J294" s="264"/>
      <c r="U294" s="1441"/>
      <c r="V294" s="261"/>
      <c r="W294" s="261"/>
    </row>
    <row r="295" spans="1:23" s="22" customFormat="1" ht="15.75">
      <c r="A295" s="251"/>
      <c r="J295" s="264"/>
      <c r="U295" s="1441"/>
      <c r="V295" s="261"/>
      <c r="W295" s="261"/>
    </row>
    <row r="296" spans="1:23" s="22" customFormat="1" ht="15.75">
      <c r="A296" s="251"/>
      <c r="J296" s="264"/>
      <c r="U296" s="1441"/>
      <c r="V296" s="261"/>
      <c r="W296" s="261"/>
    </row>
    <row r="297" spans="1:23" s="22" customFormat="1" ht="15.75">
      <c r="A297" s="251"/>
      <c r="J297" s="264"/>
      <c r="U297" s="1441"/>
      <c r="V297" s="261"/>
      <c r="W297" s="261"/>
    </row>
    <row r="298" spans="1:23" s="22" customFormat="1" ht="15.75">
      <c r="A298" s="251"/>
      <c r="J298" s="264"/>
      <c r="U298" s="1441"/>
      <c r="V298" s="261"/>
      <c r="W298" s="261"/>
    </row>
    <row r="299" spans="1:23" s="22" customFormat="1" ht="15.75">
      <c r="A299" s="251"/>
      <c r="J299" s="264"/>
      <c r="U299" s="1441"/>
      <c r="V299" s="261"/>
      <c r="W299" s="261"/>
    </row>
    <row r="300" spans="1:23" s="22" customFormat="1" ht="15.75">
      <c r="A300" s="251"/>
      <c r="J300" s="264"/>
      <c r="U300" s="1441"/>
      <c r="V300" s="261"/>
      <c r="W300" s="261"/>
    </row>
    <row r="301" spans="1:23" s="22" customFormat="1" ht="15.75">
      <c r="A301" s="251"/>
      <c r="J301" s="264"/>
      <c r="U301" s="1441"/>
      <c r="V301" s="261"/>
      <c r="W301" s="261"/>
    </row>
    <row r="302" spans="1:23" s="22" customFormat="1" ht="15.75">
      <c r="A302" s="251"/>
      <c r="J302" s="264"/>
      <c r="U302" s="1441"/>
      <c r="V302" s="261"/>
      <c r="W302" s="261"/>
    </row>
    <row r="303" spans="1:23" s="22" customFormat="1" ht="15.75">
      <c r="A303" s="251"/>
      <c r="J303" s="264"/>
      <c r="U303" s="1441"/>
      <c r="V303" s="261"/>
      <c r="W303" s="261"/>
    </row>
    <row r="304" spans="1:23" s="22" customFormat="1" ht="15.75">
      <c r="A304" s="251"/>
      <c r="J304" s="264"/>
      <c r="U304" s="1441"/>
      <c r="V304" s="261"/>
      <c r="W304" s="261"/>
    </row>
    <row r="305" spans="1:23" s="22" customFormat="1" ht="15.75">
      <c r="A305" s="251"/>
      <c r="J305" s="264"/>
      <c r="U305" s="1441"/>
      <c r="V305" s="261"/>
      <c r="W305" s="261"/>
    </row>
    <row r="306" spans="1:23" s="22" customFormat="1" ht="15.75">
      <c r="A306" s="251"/>
      <c r="J306" s="264"/>
      <c r="U306" s="1441"/>
      <c r="V306" s="261"/>
      <c r="W306" s="261"/>
    </row>
    <row r="307" spans="1:23" s="22" customFormat="1" ht="15.75">
      <c r="A307" s="251"/>
      <c r="J307" s="264"/>
      <c r="U307" s="1441"/>
      <c r="V307" s="261"/>
      <c r="W307" s="261"/>
    </row>
    <row r="308" spans="1:23" s="22" customFormat="1" ht="15.75">
      <c r="A308" s="251"/>
      <c r="J308" s="264"/>
      <c r="U308" s="1441"/>
      <c r="V308" s="261"/>
      <c r="W308" s="261"/>
    </row>
    <row r="309" spans="1:23" s="22" customFormat="1" ht="15.75">
      <c r="A309" s="251"/>
      <c r="J309" s="264"/>
      <c r="U309" s="1441"/>
      <c r="V309" s="261"/>
      <c r="W309" s="261"/>
    </row>
    <row r="310" spans="1:23" s="22" customFormat="1" ht="15.75">
      <c r="A310" s="251"/>
      <c r="J310" s="264"/>
      <c r="U310" s="1441"/>
      <c r="V310" s="261"/>
      <c r="W310" s="261"/>
    </row>
    <row r="311" spans="1:23" s="22" customFormat="1" ht="15.75">
      <c r="A311" s="251"/>
      <c r="J311" s="264"/>
      <c r="U311" s="1441"/>
      <c r="V311" s="261"/>
      <c r="W311" s="261"/>
    </row>
    <row r="312" spans="1:23" s="22" customFormat="1" ht="15.75">
      <c r="A312" s="251"/>
      <c r="J312" s="264"/>
      <c r="U312" s="1441"/>
      <c r="V312" s="261"/>
      <c r="W312" s="261"/>
    </row>
    <row r="313" spans="1:23" s="22" customFormat="1" ht="15.75">
      <c r="A313" s="251"/>
      <c r="J313" s="264"/>
      <c r="U313" s="1441"/>
      <c r="V313" s="261"/>
      <c r="W313" s="261"/>
    </row>
    <row r="314" spans="1:23" s="22" customFormat="1" ht="15.75">
      <c r="A314" s="251"/>
      <c r="J314" s="264"/>
      <c r="U314" s="1441"/>
      <c r="V314" s="261"/>
      <c r="W314" s="261"/>
    </row>
    <row r="315" spans="1:23" s="22" customFormat="1" ht="15.75">
      <c r="A315" s="251"/>
      <c r="J315" s="264"/>
      <c r="U315" s="1441"/>
      <c r="V315" s="261"/>
      <c r="W315" s="261"/>
    </row>
    <row r="316" spans="1:23" s="22" customFormat="1" ht="15.75">
      <c r="A316" s="251"/>
      <c r="J316" s="264"/>
      <c r="U316" s="1441"/>
      <c r="V316" s="261"/>
      <c r="W316" s="261"/>
    </row>
    <row r="317" spans="1:23" s="22" customFormat="1" ht="15.75">
      <c r="A317" s="251"/>
      <c r="J317" s="264"/>
      <c r="U317" s="1441"/>
      <c r="V317" s="261"/>
      <c r="W317" s="261"/>
    </row>
    <row r="318" spans="1:23" s="22" customFormat="1" ht="15.75">
      <c r="A318" s="251"/>
      <c r="J318" s="264"/>
      <c r="U318" s="1441"/>
      <c r="V318" s="261"/>
      <c r="W318" s="261"/>
    </row>
    <row r="319" spans="1:23" ht="15.75">
      <c r="A319" s="251"/>
      <c r="B319" s="22"/>
      <c r="C319" s="22"/>
      <c r="D319" s="22"/>
      <c r="E319" s="22"/>
      <c r="F319" s="22"/>
      <c r="G319" s="22"/>
      <c r="H319" s="22"/>
      <c r="I319" s="22"/>
      <c r="J319" s="264"/>
      <c r="K319" s="22"/>
      <c r="L319" s="22"/>
      <c r="M319" s="22"/>
      <c r="N319" s="22"/>
      <c r="O319" s="22"/>
      <c r="P319" s="22"/>
      <c r="Q319" s="22"/>
    </row>
    <row r="320" spans="1:23" ht="23.25">
      <c r="A320" s="1802" t="s">
        <v>90</v>
      </c>
      <c r="B320" s="1803"/>
      <c r="C320" s="1803"/>
      <c r="D320" s="1803"/>
      <c r="E320" s="1803"/>
      <c r="F320" s="1803"/>
      <c r="G320" s="1803"/>
      <c r="H320" s="1803"/>
      <c r="I320" s="1803"/>
      <c r="J320" s="1803"/>
      <c r="K320" s="1803"/>
      <c r="L320" s="1803"/>
      <c r="M320" s="1803"/>
      <c r="N320" s="1803"/>
      <c r="O320" s="1803"/>
      <c r="P320" s="1803"/>
      <c r="Q320" s="1804"/>
    </row>
    <row r="321" spans="1:21" ht="42" customHeight="1" thickBot="1">
      <c r="A321" s="589" t="s">
        <v>1589</v>
      </c>
    </row>
    <row r="322" spans="1:21" ht="30">
      <c r="A322" s="1979" t="s">
        <v>1590</v>
      </c>
      <c r="B322" s="617" t="s">
        <v>1591</v>
      </c>
      <c r="C322" s="617" t="s">
        <v>1591</v>
      </c>
      <c r="D322" s="617" t="s">
        <v>1592</v>
      </c>
      <c r="E322" s="617" t="s">
        <v>1592</v>
      </c>
      <c r="G322" s="1319"/>
    </row>
    <row r="323" spans="1:21" ht="18.75" thickBot="1">
      <c r="A323" s="1980"/>
      <c r="B323" s="618" t="s">
        <v>1593</v>
      </c>
      <c r="C323" s="618" t="s">
        <v>1594</v>
      </c>
      <c r="D323" s="618" t="s">
        <v>1593</v>
      </c>
      <c r="E323" s="618" t="s">
        <v>1594</v>
      </c>
      <c r="F323" s="1382" t="s">
        <v>1595</v>
      </c>
      <c r="G323" s="1382" t="s">
        <v>1596</v>
      </c>
      <c r="H323" s="1319"/>
    </row>
    <row r="324" spans="1:21" ht="33" customHeight="1" thickBot="1">
      <c r="A324" s="683" t="s">
        <v>1597</v>
      </c>
      <c r="B324" s="684">
        <v>0.41799999999999998</v>
      </c>
      <c r="C324" s="684">
        <f>B324*277.7</f>
        <v>116.07859999999999</v>
      </c>
      <c r="D324" s="684">
        <v>7.2900000000000006E-2</v>
      </c>
      <c r="E324" s="1464">
        <f>D324/0.0036</f>
        <v>20.250000000000004</v>
      </c>
      <c r="F324" s="1447" t="s">
        <v>1598</v>
      </c>
      <c r="G324" s="1448" t="s">
        <v>1599</v>
      </c>
      <c r="U324" s="1440" t="s">
        <v>1600</v>
      </c>
    </row>
    <row r="325" spans="1:21" ht="33" customHeight="1" thickBot="1">
      <c r="A325" s="683" t="s">
        <v>1601</v>
      </c>
      <c r="B325" s="684">
        <v>0.27</v>
      </c>
      <c r="C325" s="684">
        <f t="shared" ref="C325:C329" si="9">B325*277.7</f>
        <v>74.978999999999999</v>
      </c>
      <c r="D325" s="684">
        <v>7.5300000000000006E-2</v>
      </c>
      <c r="E325" s="1464">
        <f>D325/0.0036</f>
        <v>20.916666666666668</v>
      </c>
      <c r="F325" s="1447" t="s">
        <v>1602</v>
      </c>
      <c r="G325" s="1448" t="s">
        <v>1599</v>
      </c>
      <c r="H325" s="10" t="s">
        <v>1603</v>
      </c>
      <c r="I325" s="10" t="s">
        <v>1604</v>
      </c>
      <c r="U325" s="1440" t="s">
        <v>1600</v>
      </c>
    </row>
    <row r="326" spans="1:21" ht="33" customHeight="1" thickBot="1">
      <c r="A326" s="683" t="s">
        <v>723</v>
      </c>
      <c r="B326" s="684">
        <v>0.151</v>
      </c>
      <c r="C326" s="684">
        <f t="shared" si="9"/>
        <v>41.932699999999997</v>
      </c>
      <c r="D326" s="684">
        <v>4.5600000000000002E-2</v>
      </c>
      <c r="E326" s="1464">
        <f>0.0456/0.0036</f>
        <v>12.666666666666668</v>
      </c>
      <c r="F326" s="1447" t="s">
        <v>1605</v>
      </c>
      <c r="G326" s="1448" t="s">
        <v>1606</v>
      </c>
      <c r="U326" s="1440" t="s">
        <v>1600</v>
      </c>
    </row>
    <row r="327" spans="1:21" ht="33" customHeight="1" thickBot="1">
      <c r="A327" s="687" t="s">
        <v>1607</v>
      </c>
      <c r="B327" s="1431">
        <v>0.33639999999999998</v>
      </c>
      <c r="C327" s="684">
        <f t="shared" si="9"/>
        <v>93.418279999999996</v>
      </c>
      <c r="D327" s="684">
        <v>7.2900000000000006E-2</v>
      </c>
      <c r="E327" s="1464">
        <f>D327/0.0036</f>
        <v>20.250000000000004</v>
      </c>
      <c r="F327" s="1447" t="s">
        <v>1608</v>
      </c>
      <c r="G327" s="1448" t="s">
        <v>1599</v>
      </c>
      <c r="U327" s="1440" t="s">
        <v>1600</v>
      </c>
    </row>
    <row r="328" spans="1:21" ht="33" customHeight="1" thickBot="1">
      <c r="A328" s="1432" t="s">
        <v>1609</v>
      </c>
      <c r="B328" s="1433">
        <v>0.24210000000000001</v>
      </c>
      <c r="C328" s="684">
        <f t="shared" si="9"/>
        <v>67.231170000000006</v>
      </c>
      <c r="D328" s="684">
        <v>7.2900000000000006E-2</v>
      </c>
      <c r="E328" s="1464">
        <f>D328/0.0036</f>
        <v>20.250000000000004</v>
      </c>
      <c r="F328" s="1447" t="s">
        <v>1608</v>
      </c>
      <c r="G328" s="1448" t="s">
        <v>1599</v>
      </c>
      <c r="U328" s="1440" t="s">
        <v>1600</v>
      </c>
    </row>
    <row r="329" spans="1:21" ht="33" customHeight="1" thickBot="1">
      <c r="A329" s="1470" t="s">
        <v>1610</v>
      </c>
      <c r="B329" s="1433">
        <v>0.77300000000000002</v>
      </c>
      <c r="C329" s="1471">
        <f t="shared" si="9"/>
        <v>214.66210000000001</v>
      </c>
      <c r="D329" s="1471">
        <v>7.2900000000000006E-2</v>
      </c>
      <c r="E329" s="1472">
        <f>D329/0.0036</f>
        <v>20.250000000000004</v>
      </c>
      <c r="F329" s="1447" t="s">
        <v>1608</v>
      </c>
      <c r="G329" s="1448" t="s">
        <v>1599</v>
      </c>
      <c r="U329" s="1440" t="s">
        <v>1600</v>
      </c>
    </row>
    <row r="330" spans="1:21">
      <c r="A330" s="1321"/>
      <c r="B330" s="1466"/>
      <c r="C330" s="1466"/>
      <c r="D330" s="1466"/>
      <c r="E330" s="1466"/>
      <c r="G330" s="1431"/>
    </row>
    <row r="331" spans="1:21">
      <c r="A331" s="1473" t="s">
        <v>1611</v>
      </c>
      <c r="B331" s="1466"/>
      <c r="C331" s="1466"/>
      <c r="D331" s="1466"/>
      <c r="E331" s="1466"/>
    </row>
    <row r="332" spans="1:21">
      <c r="A332" s="1473"/>
      <c r="B332" s="1957"/>
      <c r="C332" s="1957"/>
      <c r="D332" s="1957"/>
      <c r="E332" s="1957"/>
    </row>
    <row r="333" spans="1:21">
      <c r="A333" s="1321"/>
      <c r="B333" s="1957"/>
      <c r="C333" s="1957"/>
      <c r="D333" s="1957"/>
      <c r="E333" s="1957"/>
    </row>
    <row r="334" spans="1:21">
      <c r="A334" s="1321"/>
      <c r="B334" s="1466"/>
      <c r="C334" s="1466"/>
      <c r="D334" s="1466"/>
      <c r="E334" s="1466"/>
    </row>
    <row r="335" spans="1:21">
      <c r="A335" s="602"/>
      <c r="B335" s="603"/>
      <c r="C335" s="603"/>
      <c r="D335" s="603"/>
      <c r="E335" s="603"/>
    </row>
    <row r="336" spans="1:21">
      <c r="A336" s="1465"/>
      <c r="B336" s="7"/>
      <c r="C336" s="7"/>
      <c r="D336" s="7"/>
      <c r="E336" s="7"/>
    </row>
    <row r="337" spans="1:5">
      <c r="B337" s="1319"/>
      <c r="C337" s="1319"/>
      <c r="D337" s="1319"/>
      <c r="E337" s="1319"/>
    </row>
    <row r="338" spans="1:5">
      <c r="B338" s="1319"/>
      <c r="C338" s="1319"/>
      <c r="D338" s="1319"/>
      <c r="E338" s="1319"/>
    </row>
    <row r="339" spans="1:5">
      <c r="A339" s="1321"/>
      <c r="B339" s="1466"/>
      <c r="C339" s="1466"/>
      <c r="D339" s="1466"/>
      <c r="E339" s="1466"/>
    </row>
    <row r="340" spans="1:5">
      <c r="A340" s="1321"/>
      <c r="B340" s="1466"/>
      <c r="C340" s="1466"/>
      <c r="D340" s="1466"/>
      <c r="E340" s="1466"/>
    </row>
    <row r="341" spans="1:5">
      <c r="A341" s="1465"/>
      <c r="B341" s="7"/>
      <c r="C341" s="7"/>
      <c r="D341" s="7"/>
      <c r="E341" s="7"/>
    </row>
    <row r="342" spans="1:5">
      <c r="A342" s="1956"/>
      <c r="B342" s="1319"/>
      <c r="C342" s="7"/>
      <c r="D342" s="7"/>
      <c r="E342" s="7"/>
    </row>
    <row r="343" spans="1:5">
      <c r="A343" s="1956"/>
      <c r="B343" s="1319"/>
      <c r="C343" s="7"/>
      <c r="D343" s="7"/>
      <c r="E343" s="7"/>
    </row>
    <row r="344" spans="1:5">
      <c r="A344" s="1321"/>
      <c r="B344" s="1466"/>
      <c r="C344" s="7"/>
      <c r="D344" s="7"/>
      <c r="E344" s="7"/>
    </row>
    <row r="345" spans="1:5">
      <c r="A345" s="1321"/>
      <c r="B345" s="1957"/>
      <c r="C345" s="7"/>
      <c r="D345" s="7"/>
      <c r="E345" s="7"/>
    </row>
    <row r="346" spans="1:5">
      <c r="A346" s="1321"/>
      <c r="B346" s="1957"/>
      <c r="C346" s="7"/>
      <c r="D346" s="7"/>
      <c r="E346" s="7"/>
    </row>
    <row r="347" spans="1:5">
      <c r="A347" s="1467"/>
      <c r="B347" s="1957"/>
      <c r="C347" s="7"/>
      <c r="D347" s="7"/>
      <c r="E347" s="7"/>
    </row>
    <row r="348" spans="1:5">
      <c r="A348" s="1321"/>
      <c r="B348" s="1957"/>
      <c r="C348" s="7"/>
      <c r="D348" s="7"/>
      <c r="E348" s="7"/>
    </row>
    <row r="349" spans="1:5">
      <c r="A349" s="1321"/>
      <c r="B349" s="1466"/>
      <c r="C349" s="7"/>
      <c r="D349" s="7"/>
      <c r="E349" s="7"/>
    </row>
    <row r="350" spans="1:5">
      <c r="A350" s="1321"/>
      <c r="B350" s="1466"/>
      <c r="C350" s="7"/>
      <c r="D350" s="7"/>
      <c r="E350" s="7"/>
    </row>
    <row r="351" spans="1:5">
      <c r="A351" s="7"/>
      <c r="B351" s="7"/>
      <c r="C351" s="7"/>
      <c r="D351" s="7"/>
      <c r="E351" s="7"/>
    </row>
    <row r="352" spans="1:5">
      <c r="A352" s="1468"/>
      <c r="B352" s="7"/>
      <c r="C352" s="7"/>
      <c r="D352" s="7"/>
      <c r="E352" s="7"/>
    </row>
    <row r="354" spans="1:31">
      <c r="A354" s="250"/>
      <c r="B354" s="279"/>
      <c r="C354" s="279"/>
    </row>
    <row r="356" spans="1:31" ht="23.25">
      <c r="A356" s="1802" t="s">
        <v>143</v>
      </c>
      <c r="B356" s="1803"/>
      <c r="C356" s="1803"/>
      <c r="D356" s="1803"/>
      <c r="E356" s="1803"/>
      <c r="F356" s="1803"/>
      <c r="G356" s="1803"/>
      <c r="H356" s="1803"/>
      <c r="I356" s="1803"/>
      <c r="J356" s="1803"/>
      <c r="K356" s="1803"/>
      <c r="L356" s="1803"/>
      <c r="M356" s="1803"/>
      <c r="N356" s="1803"/>
      <c r="O356" s="1803"/>
      <c r="P356" s="1803"/>
      <c r="Q356" s="1804"/>
    </row>
    <row r="357" spans="1:31" ht="23.25" customHeight="1"/>
    <row r="358" spans="1:31" ht="15" customHeight="1">
      <c r="A358" s="1946"/>
      <c r="B358" s="1946"/>
      <c r="C358" s="1946"/>
      <c r="D358" s="1946"/>
      <c r="E358" s="1946"/>
      <c r="F358" s="1946"/>
      <c r="G358" s="1946"/>
      <c r="H358" s="1946"/>
    </row>
    <row r="359" spans="1:31">
      <c r="A359" s="1947"/>
      <c r="B359" s="1947"/>
      <c r="C359" s="1947"/>
      <c r="D359" s="1947"/>
      <c r="E359" s="1947"/>
      <c r="F359" s="1947"/>
      <c r="G359" s="1947"/>
      <c r="H359" s="1947"/>
    </row>
    <row r="360" spans="1:31">
      <c r="A360" s="1834" t="s">
        <v>1612</v>
      </c>
      <c r="B360" s="1835"/>
      <c r="C360" s="1835"/>
      <c r="D360" s="1835"/>
      <c r="E360" s="1835"/>
      <c r="F360" s="1835"/>
      <c r="G360" s="1835"/>
      <c r="H360" s="1835"/>
      <c r="I360" s="1835"/>
      <c r="J360" s="1835"/>
      <c r="K360" s="1835"/>
      <c r="L360" s="1835"/>
      <c r="M360" s="1835"/>
      <c r="N360" s="1836"/>
      <c r="Q360" s="1414"/>
      <c r="R360" s="1414"/>
      <c r="S360" s="1414"/>
      <c r="T360" s="1414"/>
      <c r="V360" s="1414"/>
      <c r="W360" s="1414"/>
      <c r="X360" s="1414"/>
      <c r="Y360" s="1414"/>
      <c r="Z360" s="1414"/>
      <c r="AA360" s="1414"/>
      <c r="AB360" s="1414"/>
      <c r="AC360" s="1414"/>
      <c r="AD360" s="1414"/>
      <c r="AE360" s="7"/>
    </row>
    <row r="361" spans="1:31" ht="18.75" customHeight="1">
      <c r="A361" s="1810" t="s">
        <v>1613</v>
      </c>
      <c r="B361" s="1837"/>
      <c r="C361" s="170" t="s">
        <v>1340</v>
      </c>
      <c r="D361" s="171" t="s">
        <v>1614</v>
      </c>
      <c r="E361" s="172" t="s">
        <v>1615</v>
      </c>
      <c r="F361" s="172" t="s">
        <v>1616</v>
      </c>
      <c r="G361" s="172" t="s">
        <v>1617</v>
      </c>
      <c r="H361" s="170" t="s">
        <v>1618</v>
      </c>
      <c r="I361" s="1837" t="s">
        <v>1619</v>
      </c>
      <c r="J361" s="1837"/>
      <c r="K361" s="1837"/>
      <c r="L361" s="1837"/>
      <c r="M361" s="1837"/>
      <c r="N361" s="1938"/>
      <c r="Q361" s="1500"/>
      <c r="R361" s="1500"/>
      <c r="S361" s="1408"/>
      <c r="T361" s="1409"/>
      <c r="V361" s="1409"/>
      <c r="W361" s="1409"/>
      <c r="X361" s="1408"/>
      <c r="Y361" s="1500"/>
      <c r="Z361" s="1500"/>
      <c r="AA361" s="1500"/>
      <c r="AB361" s="1500"/>
      <c r="AC361" s="1500"/>
      <c r="AD361" s="1500"/>
      <c r="AE361" s="7"/>
    </row>
    <row r="362" spans="1:31" ht="16.5" customHeight="1">
      <c r="A362" s="8" t="s">
        <v>1620</v>
      </c>
      <c r="B362" s="37" t="s">
        <v>1620</v>
      </c>
      <c r="C362" s="173" t="s">
        <v>1621</v>
      </c>
      <c r="D362" s="174">
        <v>0.10499999999999998</v>
      </c>
      <c r="E362" s="175">
        <v>0.10321771875918379</v>
      </c>
      <c r="F362" s="176">
        <v>1.3794746445945858E-4</v>
      </c>
      <c r="G362" s="175">
        <v>1.644333776356746E-3</v>
      </c>
      <c r="H362" s="177"/>
      <c r="I362" s="1939" t="s">
        <v>1622</v>
      </c>
      <c r="J362" s="1939"/>
      <c r="K362" s="1939"/>
      <c r="L362" s="1939"/>
      <c r="M362" s="1939"/>
      <c r="N362" s="1940"/>
      <c r="Q362" s="7"/>
      <c r="R362" s="7"/>
      <c r="S362" s="1410"/>
      <c r="T362" s="1411"/>
      <c r="U362" s="1440" t="s">
        <v>1623</v>
      </c>
      <c r="V362" s="1412"/>
      <c r="W362" s="1411"/>
      <c r="X362" s="1499"/>
      <c r="Y362" s="1501"/>
      <c r="Z362" s="1501"/>
      <c r="AA362" s="1501"/>
      <c r="AB362" s="1501"/>
      <c r="AC362" s="1501"/>
      <c r="AD362" s="1501"/>
      <c r="AE362" s="7"/>
    </row>
    <row r="363" spans="1:31">
      <c r="A363" s="8" t="s">
        <v>1624</v>
      </c>
      <c r="B363" s="37" t="s">
        <v>1624</v>
      </c>
      <c r="C363" s="173" t="s">
        <v>1621</v>
      </c>
      <c r="D363" s="174">
        <v>0.38999999999999996</v>
      </c>
      <c r="E363" s="175">
        <v>0.38338009824839692</v>
      </c>
      <c r="F363" s="176">
        <v>5.1237629656370332E-4</v>
      </c>
      <c r="G363" s="175">
        <v>6.1075254550393429E-3</v>
      </c>
      <c r="H363" s="177"/>
      <c r="I363" s="1939" t="s">
        <v>1625</v>
      </c>
      <c r="J363" s="1939"/>
      <c r="K363" s="1939"/>
      <c r="L363" s="1939"/>
      <c r="M363" s="1939"/>
      <c r="N363" s="1940"/>
      <c r="Q363" s="7"/>
      <c r="R363" s="7"/>
      <c r="S363" s="1410"/>
      <c r="T363" s="1411"/>
      <c r="U363" s="1440" t="s">
        <v>1623</v>
      </c>
      <c r="V363" s="1412"/>
      <c r="W363" s="1411"/>
      <c r="X363" s="1499"/>
      <c r="Y363" s="1501"/>
      <c r="Z363" s="1501"/>
      <c r="AA363" s="1501"/>
      <c r="AB363" s="1501"/>
      <c r="AC363" s="1501"/>
      <c r="AD363" s="1501"/>
      <c r="AE363" s="7"/>
    </row>
    <row r="364" spans="1:31">
      <c r="A364" s="8" t="s">
        <v>1626</v>
      </c>
      <c r="B364" s="37" t="s">
        <v>1627</v>
      </c>
      <c r="C364" s="173" t="s">
        <v>1621</v>
      </c>
      <c r="D364" s="174">
        <v>0.13499999999999998</v>
      </c>
      <c r="E364" s="175">
        <v>0.13270849554752201</v>
      </c>
      <c r="F364" s="176">
        <v>1.7736102573358961E-4</v>
      </c>
      <c r="G364" s="175">
        <v>2.1141434267443878E-3</v>
      </c>
      <c r="H364" s="177"/>
      <c r="I364" s="1939" t="s">
        <v>1628</v>
      </c>
      <c r="J364" s="1939"/>
      <c r="K364" s="1939"/>
      <c r="L364" s="1939"/>
      <c r="M364" s="1939"/>
      <c r="N364" s="1940"/>
      <c r="Q364" s="7"/>
      <c r="R364" s="7"/>
      <c r="S364" s="1410"/>
      <c r="T364" s="1411"/>
      <c r="U364" s="1440" t="s">
        <v>1629</v>
      </c>
      <c r="V364" s="1412"/>
      <c r="W364" s="1411"/>
      <c r="X364" s="1499"/>
      <c r="Y364" s="1501"/>
      <c r="Z364" s="1501"/>
      <c r="AA364" s="1501"/>
      <c r="AB364" s="1501"/>
      <c r="AC364" s="1501"/>
      <c r="AD364" s="1501"/>
      <c r="AE364" s="7"/>
    </row>
    <row r="365" spans="1:31">
      <c r="A365" s="8" t="s">
        <v>1630</v>
      </c>
      <c r="B365" s="1328" t="s">
        <v>1631</v>
      </c>
      <c r="C365" s="173" t="s">
        <v>1621</v>
      </c>
      <c r="D365" s="1495">
        <v>0.14000000000000001</v>
      </c>
      <c r="E365" s="175"/>
      <c r="F365" s="176"/>
      <c r="G365" s="175"/>
      <c r="H365" s="1451"/>
      <c r="I365" s="1498"/>
      <c r="J365" s="1498"/>
      <c r="K365" s="1498"/>
      <c r="L365" s="1498"/>
      <c r="M365" s="1498"/>
      <c r="N365" s="1498"/>
      <c r="Q365" s="7"/>
      <c r="R365" s="7"/>
      <c r="S365" s="1410"/>
      <c r="T365" s="1411"/>
      <c r="U365" s="1440" t="s">
        <v>1629</v>
      </c>
      <c r="V365" s="1497"/>
      <c r="W365" s="1496"/>
      <c r="X365" s="1451"/>
      <c r="Y365" s="1498"/>
      <c r="Z365" s="1498"/>
      <c r="AA365" s="1498"/>
      <c r="AB365" s="1498"/>
      <c r="AC365" s="1498"/>
      <c r="AD365" s="1498"/>
    </row>
    <row r="367" spans="1:31">
      <c r="A367" s="1834" t="s">
        <v>1632</v>
      </c>
      <c r="B367" s="1835"/>
      <c r="C367" s="1835"/>
      <c r="D367" s="1835"/>
      <c r="E367" s="1835"/>
      <c r="F367" s="1835"/>
      <c r="G367" s="1835"/>
      <c r="H367" s="1835"/>
      <c r="I367" s="1835"/>
      <c r="J367" s="1835"/>
      <c r="K367" s="1835"/>
      <c r="L367" s="1835"/>
      <c r="M367" s="1835"/>
      <c r="N367" s="1835"/>
      <c r="O367" s="178"/>
    </row>
    <row r="368" spans="1:31" ht="24" customHeight="1">
      <c r="A368" s="1923"/>
      <c r="B368" s="1924"/>
      <c r="C368" s="1924"/>
      <c r="D368" s="1925" t="s">
        <v>1633</v>
      </c>
      <c r="E368" s="1925"/>
      <c r="F368" s="1925"/>
      <c r="G368" s="1925"/>
      <c r="H368" s="1925" t="s">
        <v>1634</v>
      </c>
      <c r="I368" s="1925"/>
      <c r="J368" s="1925"/>
      <c r="K368" s="1925"/>
      <c r="L368" s="1925" t="s">
        <v>1635</v>
      </c>
      <c r="M368" s="1925"/>
      <c r="N368" s="1925"/>
      <c r="O368" s="1951"/>
      <c r="R368" s="179"/>
      <c r="S368" s="179"/>
    </row>
    <row r="369" spans="1:22" ht="15" customHeight="1">
      <c r="A369" s="1810" t="s">
        <v>1613</v>
      </c>
      <c r="B369" s="1837"/>
      <c r="C369" s="170" t="s">
        <v>1340</v>
      </c>
      <c r="D369" s="171" t="s">
        <v>1614</v>
      </c>
      <c r="E369" s="172" t="s">
        <v>1615</v>
      </c>
      <c r="F369" s="172" t="s">
        <v>1616</v>
      </c>
      <c r="G369" s="172" t="s">
        <v>1617</v>
      </c>
      <c r="H369" s="171" t="s">
        <v>1614</v>
      </c>
      <c r="I369" s="172" t="s">
        <v>1615</v>
      </c>
      <c r="J369" s="172" t="s">
        <v>1616</v>
      </c>
      <c r="K369" s="172" t="s">
        <v>1617</v>
      </c>
      <c r="L369" s="171" t="s">
        <v>1614</v>
      </c>
      <c r="M369" s="172" t="s">
        <v>1615</v>
      </c>
      <c r="N369" s="172" t="s">
        <v>1616</v>
      </c>
      <c r="O369" s="172" t="s">
        <v>1617</v>
      </c>
      <c r="Q369" s="179"/>
      <c r="R369" s="182"/>
      <c r="S369" s="182"/>
      <c r="T369" s="165"/>
      <c r="U369" s="1442"/>
      <c r="V369" s="1422"/>
    </row>
    <row r="370" spans="1:22" ht="15" customHeight="1">
      <c r="A370" s="1833" t="s">
        <v>72</v>
      </c>
      <c r="B370" s="173" t="s">
        <v>1636</v>
      </c>
      <c r="C370" s="173" t="s">
        <v>1637</v>
      </c>
      <c r="D370" s="174">
        <v>0.2066628155465243</v>
      </c>
      <c r="E370" s="175">
        <v>0.19761314215060102</v>
      </c>
      <c r="F370" s="175">
        <v>2.3265754289924327E-3</v>
      </c>
      <c r="G370" s="175">
        <v>6.7230979669308617E-3</v>
      </c>
      <c r="H370" s="174">
        <v>0.19485305564163172</v>
      </c>
      <c r="I370" s="175">
        <v>0.18632052641477878</v>
      </c>
      <c r="J370" s="175">
        <v>2.1936231262554284E-3</v>
      </c>
      <c r="K370" s="175">
        <v>6.3389061005975061E-3</v>
      </c>
      <c r="L370" s="174">
        <v>0.18406067340854881</v>
      </c>
      <c r="M370" s="175">
        <v>0.17527400722888747</v>
      </c>
      <c r="N370" s="180">
        <v>2.0635682127304882E-3</v>
      </c>
      <c r="O370" s="181">
        <v>6.7230979669308617E-3</v>
      </c>
      <c r="Q370" s="182"/>
      <c r="R370" s="182"/>
      <c r="S370" s="182"/>
      <c r="T370" s="165"/>
      <c r="U370" s="1442"/>
      <c r="V370" s="1422"/>
    </row>
    <row r="371" spans="1:22">
      <c r="A371" s="1833"/>
      <c r="B371" s="173" t="s">
        <v>1638</v>
      </c>
      <c r="C371" s="173" t="s">
        <v>1637</v>
      </c>
      <c r="D371" s="174">
        <v>0.22190419819308019</v>
      </c>
      <c r="E371" s="175">
        <v>0.21218711138420757</v>
      </c>
      <c r="F371" s="175">
        <v>2.4981603668806211E-3</v>
      </c>
      <c r="G371" s="175">
        <v>7.2189264419920025E-3</v>
      </c>
      <c r="H371" s="174">
        <v>0.2092234684952019</v>
      </c>
      <c r="I371" s="175">
        <v>0.20006166523786859</v>
      </c>
      <c r="J371" s="175">
        <v>2.3554028318167651E-3</v>
      </c>
      <c r="K371" s="175">
        <v>6.8064004255165679E-3</v>
      </c>
      <c r="L371" s="174">
        <v>0.19763514807242924</v>
      </c>
      <c r="M371" s="175">
        <v>0.18820046526201786</v>
      </c>
      <c r="N371" s="180">
        <v>2.2157563684193611E-3</v>
      </c>
      <c r="O371" s="181">
        <v>7.2189264419920025E-3</v>
      </c>
      <c r="Q371" s="182"/>
      <c r="R371" s="182"/>
      <c r="S371" s="182"/>
      <c r="T371" s="165"/>
      <c r="U371" s="1442"/>
      <c r="V371" s="1422"/>
    </row>
    <row r="372" spans="1:22">
      <c r="A372" s="1833"/>
      <c r="B372" s="173" t="s">
        <v>1639</v>
      </c>
      <c r="C372" s="173" t="s">
        <v>1637</v>
      </c>
      <c r="D372" s="174">
        <v>0.2994027540230273</v>
      </c>
      <c r="E372" s="175">
        <v>0.2862920396906834</v>
      </c>
      <c r="F372" s="175">
        <v>3.3706261527527885E-3</v>
      </c>
      <c r="G372" s="175">
        <v>9.7400881795910894E-3</v>
      </c>
      <c r="H372" s="174">
        <v>0.28229336436081415</v>
      </c>
      <c r="I372" s="175">
        <v>0.2699318626434109</v>
      </c>
      <c r="J372" s="175">
        <v>3.1780115041625543E-3</v>
      </c>
      <c r="K372" s="175">
        <v>9.1834902132406429E-3</v>
      </c>
      <c r="L372" s="174">
        <v>0.2666579006006351</v>
      </c>
      <c r="M372" s="175">
        <v>0.2539282179728507</v>
      </c>
      <c r="N372" s="180">
        <v>2.989594448193294E-3</v>
      </c>
      <c r="O372" s="181">
        <v>9.7400881795910894E-3</v>
      </c>
      <c r="Q372" s="182"/>
      <c r="R372" s="182"/>
      <c r="S372" s="182"/>
      <c r="T372" s="165"/>
      <c r="U372" s="1442"/>
      <c r="V372" s="1422"/>
    </row>
    <row r="373" spans="1:22">
      <c r="A373" s="1833"/>
      <c r="B373" s="173" t="s">
        <v>1640</v>
      </c>
      <c r="C373" s="173" t="s">
        <v>1637</v>
      </c>
      <c r="D373" s="174">
        <v>0.31671076482504879</v>
      </c>
      <c r="E373" s="175">
        <v>0.30284214034579632</v>
      </c>
      <c r="F373" s="175">
        <v>3.5654768449309062E-3</v>
      </c>
      <c r="G373" s="175">
        <v>1.0303147634321554E-2</v>
      </c>
      <c r="H373" s="174">
        <v>0.29861230777080094</v>
      </c>
      <c r="I373" s="175">
        <v>0.28553620673064878</v>
      </c>
      <c r="J373" s="175">
        <v>3.361727440986448E-3</v>
      </c>
      <c r="K373" s="175">
        <v>9.7143735991656877E-3</v>
      </c>
      <c r="L373" s="174">
        <v>0.28207298199860104</v>
      </c>
      <c r="M373" s="175">
        <v>0.26860741607826999</v>
      </c>
      <c r="N373" s="180">
        <v>3.1624182860094719E-3</v>
      </c>
      <c r="O373" s="181">
        <v>1.0303147634321554E-2</v>
      </c>
      <c r="Q373" s="182"/>
      <c r="R373" s="182"/>
      <c r="S373" s="182"/>
      <c r="T373" s="165"/>
      <c r="U373" s="1442"/>
      <c r="V373" s="1422"/>
    </row>
    <row r="374" spans="1:22">
      <c r="A374" s="1833"/>
      <c r="B374" s="173" t="s">
        <v>1641</v>
      </c>
      <c r="C374" s="173" t="s">
        <v>1637</v>
      </c>
      <c r="D374" s="174">
        <v>0.36165992720641754</v>
      </c>
      <c r="E374" s="175">
        <v>0.34582299876355177</v>
      </c>
      <c r="F374" s="175">
        <v>4.0715070007367564E-3</v>
      </c>
      <c r="G374" s="175">
        <v>1.1765421442129005E-2</v>
      </c>
      <c r="H374" s="174">
        <v>0.34099284737285551</v>
      </c>
      <c r="I374" s="175">
        <v>0.32606092122586289</v>
      </c>
      <c r="J374" s="175">
        <v>3.8388404709470002E-3</v>
      </c>
      <c r="K374" s="175">
        <v>1.1093085676045635E-2</v>
      </c>
      <c r="L374" s="174">
        <v>0.32210617846496031</v>
      </c>
      <c r="M374" s="175">
        <v>0.30672951265055298</v>
      </c>
      <c r="N374" s="180">
        <v>3.6112443722783531E-3</v>
      </c>
      <c r="O374" s="181">
        <v>1.1765421442129005E-2</v>
      </c>
      <c r="Q374" s="182"/>
      <c r="R374" s="182"/>
      <c r="S374" s="182"/>
      <c r="T374" s="165"/>
      <c r="U374" s="1442"/>
      <c r="V374" s="1422"/>
    </row>
    <row r="375" spans="1:22">
      <c r="A375" s="1833" t="s">
        <v>1642</v>
      </c>
      <c r="B375" s="173" t="s">
        <v>1636</v>
      </c>
      <c r="C375" s="173" t="s">
        <v>1637</v>
      </c>
      <c r="D375" s="174">
        <v>0.21549870217003167</v>
      </c>
      <c r="E375" s="175">
        <v>0.21184080412909945</v>
      </c>
      <c r="F375" s="176">
        <v>2.8311904341580857E-4</v>
      </c>
      <c r="G375" s="176">
        <v>3.3747789975164377E-3</v>
      </c>
      <c r="H375" s="174">
        <v>0.19856781479305941</v>
      </c>
      <c r="I375" s="175">
        <v>0.19519730344700667</v>
      </c>
      <c r="J375" s="176">
        <v>2.6087549118055157E-4</v>
      </c>
      <c r="K375" s="175">
        <v>3.1096358548721747E-3</v>
      </c>
      <c r="L375" s="174">
        <v>0.18861837546244112</v>
      </c>
      <c r="M375" s="175">
        <v>0.18541674696472743</v>
      </c>
      <c r="N375" s="183">
        <v>2.478040632905325E-4</v>
      </c>
      <c r="O375" s="184">
        <v>2.9538244344231471E-3</v>
      </c>
      <c r="Q375" s="182"/>
      <c r="R375" s="182"/>
      <c r="S375" s="182"/>
      <c r="T375" s="165"/>
      <c r="U375" s="1442"/>
      <c r="V375" s="1422"/>
    </row>
    <row r="376" spans="1:22">
      <c r="A376" s="1833"/>
      <c r="B376" s="173" t="s">
        <v>1638</v>
      </c>
      <c r="C376" s="173" t="s">
        <v>1637</v>
      </c>
      <c r="D376" s="174">
        <v>0.20737737309871754</v>
      </c>
      <c r="E376" s="175">
        <v>0.20385732736687384</v>
      </c>
      <c r="F376" s="176">
        <v>2.7244936004982114E-4</v>
      </c>
      <c r="G376" s="176">
        <v>3.2475963717938676E-3</v>
      </c>
      <c r="H376" s="174">
        <v>0.19108454667744051</v>
      </c>
      <c r="I376" s="175">
        <v>0.1878410571255065</v>
      </c>
      <c r="J376" s="176">
        <v>2.5104408296702839E-4</v>
      </c>
      <c r="K376" s="175">
        <v>2.9924454689669784E-3</v>
      </c>
      <c r="L376" s="174">
        <v>0.18151006399419567</v>
      </c>
      <c r="M376" s="175">
        <v>0.17842909273632707</v>
      </c>
      <c r="N376" s="183">
        <v>2.3846526763688915E-4</v>
      </c>
      <c r="O376" s="184">
        <v>2.8425059902317186E-3</v>
      </c>
      <c r="Q376" s="182"/>
      <c r="R376" s="182"/>
      <c r="S376" s="182"/>
      <c r="T376" s="165"/>
      <c r="U376" s="1442"/>
      <c r="V376" s="1422"/>
    </row>
    <row r="377" spans="1:22">
      <c r="A377" s="1833"/>
      <c r="B377" s="173" t="s">
        <v>1639</v>
      </c>
      <c r="C377" s="173" t="s">
        <v>1637</v>
      </c>
      <c r="D377" s="174">
        <v>0.27606467058665257</v>
      </c>
      <c r="E377" s="175">
        <v>0.27137871931390306</v>
      </c>
      <c r="F377" s="176">
        <v>3.6268972699299426E-4</v>
      </c>
      <c r="G377" s="176">
        <v>4.3232615457564913E-3</v>
      </c>
      <c r="H377" s="174">
        <v>0.25437535274205714</v>
      </c>
      <c r="I377" s="175">
        <v>0.25005755827236026</v>
      </c>
      <c r="J377" s="176">
        <v>3.3419461839759215E-4</v>
      </c>
      <c r="K377" s="175">
        <v>3.9835998512992975E-3</v>
      </c>
      <c r="L377" s="174">
        <v>0.24162962080181635</v>
      </c>
      <c r="M377" s="175">
        <v>0.23752817375057245</v>
      </c>
      <c r="N377" s="183">
        <v>3.1744946217058113E-4</v>
      </c>
      <c r="O377" s="184">
        <v>3.7839975890733269E-3</v>
      </c>
      <c r="Q377" s="182"/>
      <c r="R377" s="182"/>
      <c r="S377" s="182"/>
      <c r="T377" s="165"/>
      <c r="U377" s="1442"/>
      <c r="V377" s="1422"/>
    </row>
    <row r="378" spans="1:22" ht="15" customHeight="1">
      <c r="A378" s="1833"/>
      <c r="B378" s="173" t="s">
        <v>1640</v>
      </c>
      <c r="C378" s="173" t="s">
        <v>1637</v>
      </c>
      <c r="D378" s="174">
        <v>0.29601224640896162</v>
      </c>
      <c r="E378" s="175">
        <v>0.29098770284870873</v>
      </c>
      <c r="F378" s="176">
        <v>3.888965603910927E-4</v>
      </c>
      <c r="G378" s="176">
        <v>4.6356469998618246E-3</v>
      </c>
      <c r="H378" s="174">
        <v>0.27275572580959212</v>
      </c>
      <c r="I378" s="175">
        <v>0.2681259409197288</v>
      </c>
      <c r="J378" s="176">
        <v>3.5834248373554798E-4</v>
      </c>
      <c r="K378" s="175">
        <v>4.2714424061277316E-3</v>
      </c>
      <c r="L378" s="174">
        <v>0.25908902685916274</v>
      </c>
      <c r="M378" s="175">
        <v>0.25469122198037786</v>
      </c>
      <c r="N378" s="183">
        <v>3.4038737451895295E-4</v>
      </c>
      <c r="O378" s="184">
        <v>4.0574175042659187E-3</v>
      </c>
      <c r="Q378" s="182"/>
      <c r="R378" s="182"/>
      <c r="S378" s="182"/>
      <c r="T378" s="165"/>
      <c r="U378" s="1442"/>
      <c r="V378" s="1422"/>
    </row>
    <row r="379" spans="1:22" ht="15" customHeight="1">
      <c r="A379" s="1833"/>
      <c r="B379" s="173" t="s">
        <v>1641</v>
      </c>
      <c r="C379" s="173" t="s">
        <v>1637</v>
      </c>
      <c r="D379" s="174">
        <v>0.29973750130428573</v>
      </c>
      <c r="E379" s="175">
        <v>0.29464972486863095</v>
      </c>
      <c r="F379" s="176">
        <v>3.9379074579371312E-4</v>
      </c>
      <c r="G379" s="176">
        <v>4.6939856898610601E-3</v>
      </c>
      <c r="H379" s="174">
        <v>0.27618830204630657</v>
      </c>
      <c r="I379" s="175">
        <v>0.27150025223992552</v>
      </c>
      <c r="J379" s="176">
        <v>3.6285215219667707E-4</v>
      </c>
      <c r="K379" s="175">
        <v>4.3251976541843901E-3</v>
      </c>
      <c r="L379" s="174">
        <v>0.26234961042400129</v>
      </c>
      <c r="M379" s="175">
        <v>0.25789646005072381</v>
      </c>
      <c r="N379" s="183">
        <v>3.4467108152302591E-4</v>
      </c>
      <c r="O379" s="184">
        <v>4.1084792917544686E-3</v>
      </c>
      <c r="Q379" s="182"/>
      <c r="R379" s="182"/>
      <c r="S379" s="182"/>
      <c r="T379" s="165"/>
      <c r="U379" s="1442"/>
      <c r="V379" s="1422"/>
    </row>
    <row r="380" spans="1:22" ht="15" customHeight="1">
      <c r="A380" s="1833" t="s">
        <v>1077</v>
      </c>
      <c r="B380" s="173" t="s">
        <v>1636</v>
      </c>
      <c r="C380" s="173" t="s">
        <v>1637</v>
      </c>
      <c r="D380" s="174">
        <v>0.16315485437883509</v>
      </c>
      <c r="E380" s="175">
        <v>0.15601037538205353</v>
      </c>
      <c r="F380" s="175">
        <v>1.836770075520343E-3</v>
      </c>
      <c r="G380" s="175">
        <v>5.3077089212612101E-3</v>
      </c>
      <c r="H380" s="174">
        <v>0.153730110216866</v>
      </c>
      <c r="I380" s="175">
        <v>0.14699833660339398</v>
      </c>
      <c r="J380" s="175">
        <v>1.7306678813070794E-3</v>
      </c>
      <c r="K380" s="175">
        <v>5.0011057321649429E-3</v>
      </c>
      <c r="L380" s="174">
        <v>0.1439105870354902</v>
      </c>
      <c r="M380" s="175">
        <v>0.1376088060041871</v>
      </c>
      <c r="N380" s="180">
        <v>1.6201213308897043E-3</v>
      </c>
      <c r="O380" s="181">
        <v>4.6816597004134004E-3</v>
      </c>
      <c r="Q380" s="182"/>
      <c r="R380" s="182"/>
      <c r="S380" s="182"/>
      <c r="T380" s="165"/>
      <c r="U380" s="1442"/>
      <c r="V380" s="1422"/>
    </row>
    <row r="381" spans="1:22" ht="15" customHeight="1">
      <c r="A381" s="1833"/>
      <c r="B381" s="173" t="s">
        <v>1638</v>
      </c>
      <c r="C381" s="173" t="s">
        <v>1637</v>
      </c>
      <c r="D381" s="174">
        <v>0.17518752488927414</v>
      </c>
      <c r="E381" s="175">
        <v>0.16751614056647995</v>
      </c>
      <c r="F381" s="175">
        <v>1.9722318685899678E-3</v>
      </c>
      <c r="G381" s="175">
        <v>5.6991524542042227E-3</v>
      </c>
      <c r="H381" s="174">
        <v>0.16506770584535985</v>
      </c>
      <c r="I381" s="175">
        <v>0.15783946392789425</v>
      </c>
      <c r="J381" s="175">
        <v>1.858304637553476E-3</v>
      </c>
      <c r="K381" s="175">
        <v>5.3699372799121056E-3</v>
      </c>
      <c r="L381" s="174">
        <v>0.15452399282935758</v>
      </c>
      <c r="M381" s="175">
        <v>0.14775745544699587</v>
      </c>
      <c r="N381" s="180">
        <v>1.7396052790428199E-3</v>
      </c>
      <c r="O381" s="181">
        <v>5.0269321033188886E-3</v>
      </c>
      <c r="Q381" s="182"/>
      <c r="R381" s="182"/>
      <c r="S381" s="182"/>
      <c r="T381" s="165"/>
      <c r="U381" s="1442"/>
      <c r="V381" s="1422"/>
    </row>
    <row r="382" spans="1:22" ht="15" customHeight="1">
      <c r="A382" s="1833"/>
      <c r="B382" s="173" t="s">
        <v>1639</v>
      </c>
      <c r="C382" s="173" t="s">
        <v>1637</v>
      </c>
      <c r="D382" s="174">
        <v>0.23637059528133703</v>
      </c>
      <c r="E382" s="175">
        <v>0.22602003133474977</v>
      </c>
      <c r="F382" s="175">
        <v>2.6610206469100933E-3</v>
      </c>
      <c r="G382" s="175">
        <v>7.6895432996771668E-3</v>
      </c>
      <c r="H382" s="174">
        <v>0.22271649717668435</v>
      </c>
      <c r="I382" s="175">
        <v>0.21296384015416678</v>
      </c>
      <c r="J382" s="175">
        <v>2.5073050930436284E-3</v>
      </c>
      <c r="K382" s="175">
        <v>7.2453519294739524E-3</v>
      </c>
      <c r="L382" s="174">
        <v>0.20849046296766649</v>
      </c>
      <c r="M382" s="175">
        <v>0.19936075769856609</v>
      </c>
      <c r="N382" s="180">
        <v>2.3471507781264596E-3</v>
      </c>
      <c r="O382" s="181">
        <v>6.7825544909739157E-3</v>
      </c>
      <c r="Q382" s="182"/>
      <c r="R382" s="182"/>
      <c r="S382" s="182"/>
      <c r="T382" s="165"/>
      <c r="U382" s="1442"/>
      <c r="V382" s="1422"/>
    </row>
    <row r="383" spans="1:22" ht="15" customHeight="1">
      <c r="A383" s="1833"/>
      <c r="B383" s="173" t="s">
        <v>1640</v>
      </c>
      <c r="C383" s="173" t="s">
        <v>1637</v>
      </c>
      <c r="D383" s="174">
        <v>0.2500348143355649</v>
      </c>
      <c r="E383" s="175">
        <v>0.23908590027299714</v>
      </c>
      <c r="F383" s="175">
        <v>2.8148501407349266E-3</v>
      </c>
      <c r="G383" s="175">
        <v>8.1340639218328067E-3</v>
      </c>
      <c r="H383" s="174">
        <v>0.23559139390734724</v>
      </c>
      <c r="I383" s="175">
        <v>0.22527495084470134</v>
      </c>
      <c r="J383" s="175">
        <v>2.6522485281031002E-3</v>
      </c>
      <c r="K383" s="175">
        <v>7.6641945345427773E-3</v>
      </c>
      <c r="L383" s="174">
        <v>0.22054297463188879</v>
      </c>
      <c r="M383" s="175">
        <v>0.21088549520141678</v>
      </c>
      <c r="N383" s="180">
        <v>2.4828359395884722E-3</v>
      </c>
      <c r="O383" s="181">
        <v>7.1746434908835383E-3</v>
      </c>
      <c r="Q383" s="182"/>
      <c r="R383" s="182"/>
      <c r="S383" s="182"/>
      <c r="T383" s="165"/>
      <c r="U383" s="1442"/>
      <c r="V383" s="1422"/>
    </row>
    <row r="384" spans="1:22" ht="15" customHeight="1">
      <c r="A384" s="1833"/>
      <c r="B384" s="173" t="s">
        <v>1641</v>
      </c>
      <c r="C384" s="173" t="s">
        <v>1637</v>
      </c>
      <c r="D384" s="174">
        <v>0.28552099516296076</v>
      </c>
      <c r="E384" s="175">
        <v>0.27301815691859305</v>
      </c>
      <c r="F384" s="175">
        <v>3.2143476321605923E-3</v>
      </c>
      <c r="G384" s="175">
        <v>9.288490612207094E-3</v>
      </c>
      <c r="H384" s="174">
        <v>0.269027692879515</v>
      </c>
      <c r="I384" s="175">
        <v>0.25724708905593902</v>
      </c>
      <c r="J384" s="175">
        <v>3.0286687922873833E-3</v>
      </c>
      <c r="K384" s="175">
        <v>8.7519350312886338E-3</v>
      </c>
      <c r="L384" s="174">
        <v>0.25184352731210791</v>
      </c>
      <c r="M384" s="175">
        <v>0.24081541050732747</v>
      </c>
      <c r="N384" s="180">
        <v>2.8352123290569832E-3</v>
      </c>
      <c r="O384" s="181">
        <v>8.1929044757234528E-3</v>
      </c>
      <c r="Q384" s="182"/>
      <c r="R384" s="182"/>
      <c r="S384" s="182"/>
      <c r="T384" s="165"/>
      <c r="U384" s="1442"/>
      <c r="V384" s="1422"/>
    </row>
    <row r="385" spans="1:22" ht="15" customHeight="1">
      <c r="A385" s="1833" t="s">
        <v>1643</v>
      </c>
      <c r="B385" s="173" t="s">
        <v>1636</v>
      </c>
      <c r="C385" s="173" t="s">
        <v>1637</v>
      </c>
      <c r="D385" s="174">
        <v>0.1931791937309929</v>
      </c>
      <c r="E385" s="175">
        <v>0.18990014941572864</v>
      </c>
      <c r="F385" s="176">
        <v>2.5379599963345725E-4</v>
      </c>
      <c r="G385" s="175">
        <v>3.02524831563081E-3</v>
      </c>
      <c r="H385" s="174">
        <v>0.17807109537691646</v>
      </c>
      <c r="I385" s="175">
        <v>0.17504849754051768</v>
      </c>
      <c r="J385" s="176">
        <v>2.3394720095965758E-4</v>
      </c>
      <c r="K385" s="175">
        <v>2.7886506354391181E-3</v>
      </c>
      <c r="L385" s="174">
        <v>0.16963692117299406</v>
      </c>
      <c r="M385" s="175">
        <v>0.16675748591245648</v>
      </c>
      <c r="N385" s="180">
        <v>2.2286650623355787E-4</v>
      </c>
      <c r="O385" s="181">
        <v>2.6565687543040097E-3</v>
      </c>
      <c r="Q385" s="182"/>
      <c r="R385" s="182"/>
      <c r="S385" s="182"/>
      <c r="T385" s="165"/>
      <c r="U385" s="1442"/>
      <c r="V385" s="1422"/>
    </row>
    <row r="386" spans="1:22" ht="15" customHeight="1">
      <c r="A386" s="1833"/>
      <c r="B386" s="173" t="s">
        <v>1638</v>
      </c>
      <c r="C386" s="173" t="s">
        <v>1637</v>
      </c>
      <c r="D386" s="174">
        <v>0.18589900231349341</v>
      </c>
      <c r="E386" s="175">
        <v>0.18274353274673352</v>
      </c>
      <c r="F386" s="176">
        <v>2.442313906160899E-4</v>
      </c>
      <c r="G386" s="175">
        <v>2.9112381761437918E-3</v>
      </c>
      <c r="H386" s="174">
        <v>0.17136027090752237</v>
      </c>
      <c r="I386" s="175">
        <v>0.16845158332409704</v>
      </c>
      <c r="J386" s="176">
        <v>2.2513061791217751E-4</v>
      </c>
      <c r="K386" s="175">
        <v>2.6835569655131557E-3</v>
      </c>
      <c r="L386" s="174">
        <v>0.16324394875312523</v>
      </c>
      <c r="M386" s="175">
        <v>0.16047302849084469</v>
      </c>
      <c r="N386" s="180">
        <v>2.1446751256041355E-4</v>
      </c>
      <c r="O386" s="181">
        <v>2.5564527497201292E-3</v>
      </c>
      <c r="Q386" s="182"/>
      <c r="R386" s="182"/>
      <c r="S386" s="182"/>
      <c r="T386" s="165"/>
      <c r="U386" s="1442"/>
      <c r="V386" s="1422"/>
    </row>
    <row r="387" spans="1:22" ht="15" customHeight="1">
      <c r="A387" s="1833"/>
      <c r="B387" s="173" t="s">
        <v>1639</v>
      </c>
      <c r="C387" s="173" t="s">
        <v>1637</v>
      </c>
      <c r="D387" s="174">
        <v>0.24747225827589273</v>
      </c>
      <c r="E387" s="175">
        <v>0.243271637670678</v>
      </c>
      <c r="F387" s="176">
        <v>3.2512543384014919E-4</v>
      </c>
      <c r="G387" s="175">
        <v>3.8754951713745782E-3</v>
      </c>
      <c r="H387" s="174">
        <v>0.22811802480112203</v>
      </c>
      <c r="I387" s="175">
        <v>0.22424592502688312</v>
      </c>
      <c r="J387" s="176">
        <v>2.9969812494109213E-4</v>
      </c>
      <c r="K387" s="175">
        <v>3.5724016492978184E-3</v>
      </c>
      <c r="L387" s="174">
        <v>0.21731342366046516</v>
      </c>
      <c r="M387" s="175">
        <v>0.21362472234267857</v>
      </c>
      <c r="N387" s="180">
        <v>2.8550319797109795E-4</v>
      </c>
      <c r="O387" s="181">
        <v>3.4031981198154875E-3</v>
      </c>
      <c r="Q387" s="182"/>
      <c r="R387" s="182"/>
      <c r="S387" s="182"/>
      <c r="T387" s="165"/>
      <c r="U387" s="1442"/>
      <c r="V387" s="1422"/>
    </row>
    <row r="388" spans="1:22" ht="15" customHeight="1">
      <c r="A388" s="1833"/>
      <c r="B388" s="173" t="s">
        <v>1640</v>
      </c>
      <c r="C388" s="173" t="s">
        <v>1637</v>
      </c>
      <c r="D388" s="174">
        <v>0.26535383517374728</v>
      </c>
      <c r="E388" s="175">
        <v>0.26084969076794917</v>
      </c>
      <c r="F388" s="176">
        <v>3.4861798806487185E-4</v>
      </c>
      <c r="G388" s="175">
        <v>4.1555264177332721E-3</v>
      </c>
      <c r="H388" s="174">
        <v>0.24460112488953839</v>
      </c>
      <c r="I388" s="175">
        <v>0.24044923920979394</v>
      </c>
      <c r="J388" s="176">
        <v>3.2135338078517322E-4</v>
      </c>
      <c r="K388" s="175">
        <v>3.8305322989592647E-3</v>
      </c>
      <c r="L388" s="174">
        <v>0.23301581682240358</v>
      </c>
      <c r="M388" s="175">
        <v>0.2290605814020604</v>
      </c>
      <c r="N388" s="180">
        <v>3.0613277247238318E-4</v>
      </c>
      <c r="O388" s="181">
        <v>3.6491026478708069E-3</v>
      </c>
      <c r="Q388" s="182"/>
      <c r="R388" s="182"/>
      <c r="S388" s="182"/>
      <c r="T388" s="165"/>
      <c r="U388" s="1442"/>
      <c r="V388" s="1422"/>
    </row>
    <row r="389" spans="1:22" ht="15" customHeight="1">
      <c r="A389" s="1833"/>
      <c r="B389" s="173" t="s">
        <v>1641</v>
      </c>
      <c r="C389" s="173" t="s">
        <v>1637</v>
      </c>
      <c r="D389" s="174">
        <v>0.26869326009777056</v>
      </c>
      <c r="E389" s="175">
        <v>0.2641324319358086</v>
      </c>
      <c r="F389" s="176">
        <v>3.5300527569365013E-4</v>
      </c>
      <c r="G389" s="175">
        <v>4.2078228862683096E-3</v>
      </c>
      <c r="H389" s="174">
        <v>0.24767938110680926</v>
      </c>
      <c r="I389" s="175">
        <v>0.24347524477648894</v>
      </c>
      <c r="J389" s="176">
        <v>3.2539754878640255E-4</v>
      </c>
      <c r="K389" s="175">
        <v>3.8787387815339184E-3</v>
      </c>
      <c r="L389" s="174">
        <v>0.23594827425562231</v>
      </c>
      <c r="M389" s="175">
        <v>0.2319432629888723</v>
      </c>
      <c r="N389" s="180">
        <v>3.0998539216331471E-4</v>
      </c>
      <c r="O389" s="181">
        <v>3.6950258745867114E-3</v>
      </c>
      <c r="Q389" s="182"/>
      <c r="R389" s="182"/>
      <c r="S389" s="182"/>
      <c r="T389" s="165"/>
      <c r="U389" s="1442"/>
      <c r="V389" s="1422"/>
    </row>
    <row r="390" spans="1:22" ht="15" customHeight="1">
      <c r="A390" s="1833" t="s">
        <v>1644</v>
      </c>
      <c r="B390" s="173" t="s">
        <v>1636</v>
      </c>
      <c r="C390" s="173" t="s">
        <v>1637</v>
      </c>
      <c r="D390" s="185"/>
      <c r="E390" s="186"/>
      <c r="F390" s="186"/>
      <c r="G390" s="187"/>
      <c r="H390" s="174">
        <v>8.0452091013493085E-2</v>
      </c>
      <c r="I390" s="175">
        <v>7.6929129489109391E-2</v>
      </c>
      <c r="J390" s="175">
        <v>9.0571619121737016E-4</v>
      </c>
      <c r="K390" s="175">
        <v>2.617245333166316E-3</v>
      </c>
      <c r="L390" s="174">
        <v>7.5313207215239847E-2</v>
      </c>
      <c r="M390" s="175">
        <v>7.2015275142191221E-2</v>
      </c>
      <c r="N390" s="180">
        <v>8.4786349649894495E-4</v>
      </c>
      <c r="O390" s="181">
        <v>2.4500685765496788E-3</v>
      </c>
      <c r="R390" s="182"/>
      <c r="S390" s="182"/>
      <c r="T390" s="165"/>
      <c r="U390" s="1442"/>
      <c r="V390" s="1422"/>
    </row>
    <row r="391" spans="1:22" ht="15" customHeight="1">
      <c r="A391" s="1833"/>
      <c r="B391" s="173" t="s">
        <v>1638</v>
      </c>
      <c r="C391" s="173" t="s">
        <v>1637</v>
      </c>
      <c r="D391" s="188"/>
      <c r="E391" s="189"/>
      <c r="F391" s="189"/>
      <c r="G391" s="190"/>
      <c r="H391" s="174">
        <v>8.6385432725738273E-2</v>
      </c>
      <c r="I391" s="175">
        <v>8.2602652788931294E-2</v>
      </c>
      <c r="J391" s="175">
        <v>9.725127603196521E-4</v>
      </c>
      <c r="K391" s="175">
        <v>2.8102671764873347E-3</v>
      </c>
      <c r="L391" s="174">
        <v>8.0867556247363803E-2</v>
      </c>
      <c r="M391" s="175">
        <v>7.7326401683927834E-2</v>
      </c>
      <c r="N391" s="180">
        <v>9.1039342936574219E-4</v>
      </c>
      <c r="O391" s="181">
        <v>2.6307611340702177E-3</v>
      </c>
      <c r="R391" s="182"/>
      <c r="S391" s="182"/>
      <c r="T391" s="165"/>
      <c r="U391" s="1442"/>
      <c r="V391" s="1422"/>
    </row>
    <row r="392" spans="1:22" ht="15" customHeight="1">
      <c r="A392" s="1833"/>
      <c r="B392" s="173" t="s">
        <v>1639</v>
      </c>
      <c r="C392" s="173" t="s">
        <v>1637</v>
      </c>
      <c r="D392" s="188"/>
      <c r="E392" s="189"/>
      <c r="F392" s="189"/>
      <c r="G392" s="190"/>
      <c r="H392" s="174">
        <v>0.11655496685579812</v>
      </c>
      <c r="I392" s="175">
        <v>0.11145107634734726</v>
      </c>
      <c r="J392" s="175">
        <v>1.3121563320261651E-3</v>
      </c>
      <c r="K392" s="175">
        <v>3.791734176424701E-3</v>
      </c>
      <c r="L392" s="174">
        <v>0.10911000895307874</v>
      </c>
      <c r="M392" s="175">
        <v>0.10433212986224955</v>
      </c>
      <c r="N392" s="180">
        <v>1.2283422405528466E-3</v>
      </c>
      <c r="O392" s="181">
        <v>3.5495368502763479E-3</v>
      </c>
      <c r="R392" s="182"/>
      <c r="S392" s="182"/>
      <c r="T392" s="165"/>
      <c r="U392" s="1442"/>
      <c r="V392" s="1422"/>
    </row>
    <row r="393" spans="1:22" ht="15" customHeight="1">
      <c r="A393" s="1833"/>
      <c r="B393" s="173" t="s">
        <v>1640</v>
      </c>
      <c r="C393" s="173" t="s">
        <v>1637</v>
      </c>
      <c r="D393" s="188"/>
      <c r="E393" s="189"/>
      <c r="F393" s="189"/>
      <c r="G393" s="190"/>
      <c r="H393" s="174">
        <v>0.12329282947817809</v>
      </c>
      <c r="I393" s="175">
        <v>0.11789389094206008</v>
      </c>
      <c r="J393" s="175">
        <v>1.3880100630406188E-3</v>
      </c>
      <c r="K393" s="175">
        <v>4.0109284730773772E-3</v>
      </c>
      <c r="L393" s="174">
        <v>0.11541749005735506</v>
      </c>
      <c r="M393" s="175">
        <v>0.11036340915540806</v>
      </c>
      <c r="N393" s="180">
        <v>1.2993508083846332E-3</v>
      </c>
      <c r="O393" s="181">
        <v>3.7547300935623831E-3</v>
      </c>
      <c r="R393" s="182"/>
      <c r="S393" s="182"/>
      <c r="T393" s="165"/>
      <c r="U393" s="1442"/>
      <c r="V393" s="1422"/>
    </row>
    <row r="394" spans="1:22" ht="15" customHeight="1">
      <c r="A394" s="1833"/>
      <c r="B394" s="173" t="s">
        <v>1641</v>
      </c>
      <c r="C394" s="173" t="s">
        <v>1637</v>
      </c>
      <c r="D394" s="188"/>
      <c r="E394" s="189"/>
      <c r="F394" s="189"/>
      <c r="G394" s="190"/>
      <c r="H394" s="174">
        <v>0.14079115927361294</v>
      </c>
      <c r="I394" s="175">
        <v>0.13462597660594147</v>
      </c>
      <c r="J394" s="175">
        <v>1.585003334630398E-3</v>
      </c>
      <c r="K394" s="175">
        <v>4.5801793330410541E-3</v>
      </c>
      <c r="L394" s="174">
        <v>0.13179811262666977</v>
      </c>
      <c r="M394" s="175">
        <v>0.12602673149883467</v>
      </c>
      <c r="N394" s="180">
        <v>1.4837611188731538E-3</v>
      </c>
      <c r="O394" s="181">
        <v>4.2876200089619386E-3</v>
      </c>
      <c r="R394" s="182"/>
      <c r="S394" s="182"/>
      <c r="T394" s="165"/>
      <c r="U394" s="1442"/>
      <c r="V394" s="1422"/>
    </row>
    <row r="395" spans="1:22" ht="15" customHeight="1">
      <c r="A395" s="1833" t="s">
        <v>1645</v>
      </c>
      <c r="B395" s="173" t="s">
        <v>1636</v>
      </c>
      <c r="C395" s="173" t="s">
        <v>1637</v>
      </c>
      <c r="D395" s="188"/>
      <c r="E395" s="189"/>
      <c r="F395" s="189"/>
      <c r="G395" s="190"/>
      <c r="H395" s="174">
        <v>1.0229673272060924E-2</v>
      </c>
      <c r="I395" s="175">
        <v>9.824573636693262E-3</v>
      </c>
      <c r="J395" s="175">
        <v>3.9106258064998227E-4</v>
      </c>
      <c r="K395" s="191">
        <v>1.4037054717680188E-5</v>
      </c>
      <c r="L395" s="174">
        <v>9.9000728954892498E-3</v>
      </c>
      <c r="M395" s="175">
        <v>9.5080255824016059E-3</v>
      </c>
      <c r="N395" s="183">
        <v>3.7846253268976457E-4</v>
      </c>
      <c r="O395" s="192">
        <v>1.3584780397879506E-5</v>
      </c>
      <c r="R395" s="182"/>
      <c r="S395" s="182"/>
      <c r="T395" s="165"/>
      <c r="U395" s="1442"/>
      <c r="V395" s="1422"/>
    </row>
    <row r="396" spans="1:22" ht="15" customHeight="1">
      <c r="A396" s="1833"/>
      <c r="B396" s="173" t="s">
        <v>1638</v>
      </c>
      <c r="C396" s="173" t="s">
        <v>1637</v>
      </c>
      <c r="D396" s="188"/>
      <c r="E396" s="189"/>
      <c r="F396" s="189"/>
      <c r="G396" s="190"/>
      <c r="H396" s="174">
        <v>1.0984111675875404E-2</v>
      </c>
      <c r="I396" s="175">
        <v>1.0549135942399377E-2</v>
      </c>
      <c r="J396" s="175">
        <v>4.1990344597291795E-4</v>
      </c>
      <c r="K396" s="191">
        <v>1.5072287503109084E-5</v>
      </c>
      <c r="L396" s="174">
        <v>1.0630203271531587E-2</v>
      </c>
      <c r="M396" s="175">
        <v>1.0209242469103728E-2</v>
      </c>
      <c r="N396" s="183">
        <v>4.0637414447563483E-4</v>
      </c>
      <c r="O396" s="192">
        <v>1.4586657952223124E-5</v>
      </c>
      <c r="R396" s="182"/>
      <c r="S396" s="182"/>
      <c r="T396" s="165"/>
      <c r="U396" s="1442"/>
      <c r="V396" s="1422"/>
    </row>
    <row r="397" spans="1:22" ht="15" customHeight="1">
      <c r="A397" s="1833"/>
      <c r="B397" s="173" t="s">
        <v>1639</v>
      </c>
      <c r="C397" s="173" t="s">
        <v>1637</v>
      </c>
      <c r="D397" s="188"/>
      <c r="E397" s="189"/>
      <c r="F397" s="189"/>
      <c r="G397" s="190"/>
      <c r="H397" s="174">
        <v>1.2427230352705217E-2</v>
      </c>
      <c r="I397" s="175">
        <v>1.1935106474393255E-2</v>
      </c>
      <c r="J397" s="175">
        <v>4.7507135788332023E-4</v>
      </c>
      <c r="K397" s="191">
        <v>1.705252042864075E-5</v>
      </c>
      <c r="L397" s="174">
        <v>1.2026824621743953E-2</v>
      </c>
      <c r="M397" s="175">
        <v>1.1550556989403655E-2</v>
      </c>
      <c r="N397" s="183">
        <v>4.5976454462620366E-4</v>
      </c>
      <c r="O397" s="192">
        <v>1.6503087714095838E-5</v>
      </c>
      <c r="R397" s="182"/>
      <c r="S397" s="182"/>
      <c r="T397" s="165"/>
      <c r="U397" s="1442"/>
      <c r="V397" s="1422"/>
    </row>
    <row r="398" spans="1:22" ht="15" customHeight="1">
      <c r="A398" s="1833"/>
      <c r="B398" s="173" t="s">
        <v>1640</v>
      </c>
      <c r="C398" s="173" t="s">
        <v>1637</v>
      </c>
      <c r="D398" s="188"/>
      <c r="E398" s="189"/>
      <c r="F398" s="189"/>
      <c r="G398" s="190"/>
      <c r="H398" s="174">
        <v>1.5305748835024793E-2</v>
      </c>
      <c r="I398" s="175">
        <v>1.4699634337797219E-2</v>
      </c>
      <c r="J398" s="175">
        <v>5.8511210270544489E-4</v>
      </c>
      <c r="K398" s="191">
        <v>2.1002394522130076E-5</v>
      </c>
      <c r="L398" s="174">
        <v>1.4812597153092435E-2</v>
      </c>
      <c r="M398" s="175">
        <v>1.4226011682962662E-2</v>
      </c>
      <c r="N398" s="183">
        <v>5.6625977338276121E-4</v>
      </c>
      <c r="O398" s="192">
        <v>2.0325696747010821E-5</v>
      </c>
      <c r="R398" s="182"/>
      <c r="S398" s="182"/>
      <c r="T398" s="165"/>
      <c r="U398" s="1442"/>
      <c r="V398" s="1422"/>
    </row>
    <row r="399" spans="1:22" ht="15" customHeight="1">
      <c r="A399" s="1833"/>
      <c r="B399" s="173" t="s">
        <v>1641</v>
      </c>
      <c r="C399" s="173" t="s">
        <v>1637</v>
      </c>
      <c r="D399" s="188"/>
      <c r="E399" s="189"/>
      <c r="F399" s="189"/>
      <c r="G399" s="190"/>
      <c r="H399" s="174">
        <v>1.7891477766790769E-2</v>
      </c>
      <c r="I399" s="175">
        <v>1.7182967247758776E-2</v>
      </c>
      <c r="J399" s="175">
        <v>6.8396001329115665E-4</v>
      </c>
      <c r="K399" s="191">
        <v>2.4550505740835241E-5</v>
      </c>
      <c r="L399" s="174">
        <v>1.7315013821899806E-2</v>
      </c>
      <c r="M399" s="175">
        <v>1.6629331532828563E-2</v>
      </c>
      <c r="N399" s="183">
        <v>6.619228013543465E-4</v>
      </c>
      <c r="O399" s="192">
        <v>2.3759487716896536E-5</v>
      </c>
      <c r="R399" s="182"/>
      <c r="S399" s="182"/>
      <c r="T399" s="165"/>
      <c r="U399" s="1442"/>
      <c r="V399" s="1422"/>
    </row>
    <row r="400" spans="1:22" ht="15" customHeight="1">
      <c r="A400" s="1833" t="s">
        <v>1646</v>
      </c>
      <c r="B400" s="173" t="s">
        <v>1636</v>
      </c>
      <c r="C400" s="173" t="s">
        <v>1637</v>
      </c>
      <c r="D400" s="188"/>
      <c r="E400" s="189"/>
      <c r="F400" s="189"/>
      <c r="G400" s="190"/>
      <c r="H400" s="174">
        <v>9.3190539913919651E-2</v>
      </c>
      <c r="I400" s="175">
        <v>9.1608713712870965E-2</v>
      </c>
      <c r="J400" s="176">
        <v>1.2243236850222085E-4</v>
      </c>
      <c r="K400" s="176">
        <v>1.4593938325464725E-3</v>
      </c>
      <c r="L400" s="174">
        <v>8.8776655413866881E-2</v>
      </c>
      <c r="M400" s="175">
        <v>8.7269750960852224E-2</v>
      </c>
      <c r="N400" s="183">
        <v>1.1663347159556195E-4</v>
      </c>
      <c r="O400" s="181">
        <v>1.3902709814190984E-3</v>
      </c>
      <c r="R400" s="182"/>
      <c r="S400" s="182"/>
      <c r="T400" s="165"/>
      <c r="U400" s="1442"/>
      <c r="V400" s="1422"/>
    </row>
    <row r="401" spans="1:22" ht="15" customHeight="1">
      <c r="A401" s="1833"/>
      <c r="B401" s="173" t="s">
        <v>1638</v>
      </c>
      <c r="C401" s="173" t="s">
        <v>1637</v>
      </c>
      <c r="D401" s="188"/>
      <c r="E401" s="189"/>
      <c r="F401" s="189"/>
      <c r="G401" s="190"/>
      <c r="H401" s="174">
        <v>8.9678541774936574E-2</v>
      </c>
      <c r="I401" s="175">
        <v>8.8156328606277312E-2</v>
      </c>
      <c r="J401" s="176">
        <v>1.1781835670737271E-4</v>
      </c>
      <c r="K401" s="176">
        <v>1.4043948119518827E-3</v>
      </c>
      <c r="L401" s="174">
        <v>8.5430999847468866E-2</v>
      </c>
      <c r="M401" s="175">
        <v>8.398088491020872E-2</v>
      </c>
      <c r="N401" s="183">
        <v>1.1223799823994976E-4</v>
      </c>
      <c r="O401" s="181">
        <v>1.337876939020201E-3</v>
      </c>
      <c r="R401" s="182"/>
      <c r="S401" s="182"/>
      <c r="T401" s="165"/>
      <c r="U401" s="1442"/>
      <c r="V401" s="1422"/>
    </row>
    <row r="402" spans="1:22" ht="15" customHeight="1">
      <c r="A402" s="1833"/>
      <c r="B402" s="173" t="s">
        <v>1639</v>
      </c>
      <c r="C402" s="173" t="s">
        <v>1637</v>
      </c>
      <c r="D402" s="188"/>
      <c r="E402" s="189"/>
      <c r="F402" s="189"/>
      <c r="G402" s="190"/>
      <c r="H402" s="174">
        <v>0.11938176631258693</v>
      </c>
      <c r="I402" s="175">
        <v>0.11735536743073524</v>
      </c>
      <c r="J402" s="176">
        <v>1.5684201871917121E-4</v>
      </c>
      <c r="K402" s="176">
        <v>1.8695568631325206E-3</v>
      </c>
      <c r="L402" s="174">
        <v>0.11372735838231014</v>
      </c>
      <c r="M402" s="175">
        <v>0.11179693802600182</v>
      </c>
      <c r="N402" s="183">
        <v>1.4941334027154129E-4</v>
      </c>
      <c r="O402" s="181">
        <v>1.7810070160367722E-3</v>
      </c>
      <c r="R402" s="182"/>
      <c r="S402" s="182"/>
      <c r="T402" s="165"/>
      <c r="U402" s="1442"/>
      <c r="V402" s="1422"/>
    </row>
    <row r="403" spans="1:22" ht="15" customHeight="1">
      <c r="A403" s="1833"/>
      <c r="B403" s="173" t="s">
        <v>1640</v>
      </c>
      <c r="C403" s="173" t="s">
        <v>1637</v>
      </c>
      <c r="D403" s="188"/>
      <c r="E403" s="189"/>
      <c r="F403" s="189"/>
      <c r="G403" s="190"/>
      <c r="H403" s="174">
        <v>0.12800792202552513</v>
      </c>
      <c r="I403" s="175">
        <v>0.12583510185312555</v>
      </c>
      <c r="J403" s="176">
        <v>1.6817493594424072E-4</v>
      </c>
      <c r="K403" s="176">
        <v>2.0046452364553494E-3</v>
      </c>
      <c r="L403" s="174">
        <v>0.12194494413705786</v>
      </c>
      <c r="M403" s="175">
        <v>0.1198750376004116</v>
      </c>
      <c r="N403" s="183">
        <v>1.6020948426054719E-4</v>
      </c>
      <c r="O403" s="181">
        <v>1.9096970523857222E-3</v>
      </c>
      <c r="R403" s="182"/>
      <c r="S403" s="182"/>
      <c r="T403" s="165"/>
      <c r="U403" s="1442"/>
      <c r="V403" s="1422"/>
    </row>
    <row r="404" spans="1:22" ht="15" customHeight="1">
      <c r="A404" s="1833"/>
      <c r="B404" s="173" t="s">
        <v>1641</v>
      </c>
      <c r="C404" s="173" t="s">
        <v>1637</v>
      </c>
      <c r="D404" s="188"/>
      <c r="E404" s="189"/>
      <c r="F404" s="189"/>
      <c r="G404" s="190"/>
      <c r="H404" s="174">
        <v>0.12961887611256342</v>
      </c>
      <c r="I404" s="175">
        <v>0.12741871143302913</v>
      </c>
      <c r="J404" s="176">
        <v>1.702913838648839E-4</v>
      </c>
      <c r="K404" s="176">
        <v>2.0298732956694162E-3</v>
      </c>
      <c r="L404" s="174">
        <v>0.12347959686044228</v>
      </c>
      <c r="M404" s="175">
        <v>0.12138364096417643</v>
      </c>
      <c r="N404" s="183">
        <v>1.6222568856546796E-4</v>
      </c>
      <c r="O404" s="181">
        <v>1.933730207700378E-3</v>
      </c>
      <c r="R404" s="182"/>
      <c r="S404" s="182"/>
      <c r="T404" s="165"/>
      <c r="U404" s="1442"/>
      <c r="V404" s="1422"/>
    </row>
    <row r="405" spans="1:22">
      <c r="A405" s="1833" t="s">
        <v>1647</v>
      </c>
      <c r="B405" s="173" t="s">
        <v>1636</v>
      </c>
      <c r="C405" s="173" t="s">
        <v>1637</v>
      </c>
      <c r="D405" s="188"/>
      <c r="E405" s="189"/>
      <c r="F405" s="189"/>
      <c r="G405" s="190"/>
      <c r="H405" s="174">
        <v>1.0383773854953831E-2</v>
      </c>
      <c r="I405" s="175">
        <v>9.9725717676036243E-3</v>
      </c>
      <c r="J405" s="176">
        <v>3.969535773634702E-4</v>
      </c>
      <c r="K405" s="191">
        <v>1.424850998673575E-5</v>
      </c>
      <c r="L405" s="174">
        <v>1.0042015190628329E-2</v>
      </c>
      <c r="M405" s="175">
        <v>9.6443468991892906E-3</v>
      </c>
      <c r="N405" s="183">
        <v>3.8388873925220414E-4</v>
      </c>
      <c r="O405" s="192">
        <v>1.3779552186834104E-5</v>
      </c>
      <c r="R405" s="182"/>
      <c r="S405" s="182"/>
      <c r="T405" s="165"/>
      <c r="U405" s="1442"/>
      <c r="V405" s="1422"/>
    </row>
    <row r="406" spans="1:22">
      <c r="A406" s="1833"/>
      <c r="B406" s="173" t="s">
        <v>1638</v>
      </c>
      <c r="C406" s="173" t="s">
        <v>1637</v>
      </c>
      <c r="D406" s="188"/>
      <c r="E406" s="189"/>
      <c r="F406" s="189"/>
      <c r="G406" s="190"/>
      <c r="H406" s="174">
        <v>9.9732701206606076E-3</v>
      </c>
      <c r="I406" s="175">
        <v>9.5783241647289328E-3</v>
      </c>
      <c r="J406" s="176">
        <v>3.8126073503803588E-4</v>
      </c>
      <c r="K406" s="191">
        <v>1.3685220893639904E-5</v>
      </c>
      <c r="L406" s="174">
        <v>9.6450222675192078E-3</v>
      </c>
      <c r="M406" s="175">
        <v>9.2630750733349847E-3</v>
      </c>
      <c r="N406" s="183">
        <v>3.687123916913445E-4</v>
      </c>
      <c r="O406" s="192">
        <v>1.3234802492879134E-5</v>
      </c>
      <c r="R406" s="182"/>
      <c r="S406" s="182"/>
      <c r="T406" s="165"/>
      <c r="U406" s="1442"/>
      <c r="V406" s="1422"/>
    </row>
    <row r="407" spans="1:22">
      <c r="A407" s="1833"/>
      <c r="B407" s="173" t="s">
        <v>1639</v>
      </c>
      <c r="C407" s="173" t="s">
        <v>1637</v>
      </c>
      <c r="D407" s="188"/>
      <c r="E407" s="189"/>
      <c r="F407" s="189"/>
      <c r="G407" s="190"/>
      <c r="H407" s="174">
        <v>1.0927614525385917E-2</v>
      </c>
      <c r="I407" s="175">
        <v>1.0494876104329741E-2</v>
      </c>
      <c r="J407" s="176">
        <v>4.1774365837440961E-4</v>
      </c>
      <c r="K407" s="191">
        <v>1.4994762681766069E-5</v>
      </c>
      <c r="L407" s="174">
        <v>1.0567956563201197E-2</v>
      </c>
      <c r="M407" s="175">
        <v>1.0149460758254377E-2</v>
      </c>
      <c r="N407" s="183">
        <v>4.0399456130134793E-4</v>
      </c>
      <c r="O407" s="192">
        <v>1.4501243645471456E-5</v>
      </c>
      <c r="R407" s="182"/>
      <c r="S407" s="182"/>
      <c r="T407" s="165"/>
      <c r="U407" s="1442"/>
      <c r="V407" s="1422"/>
    </row>
    <row r="408" spans="1:22">
      <c r="A408" s="1833"/>
      <c r="B408" s="173" t="s">
        <v>1640</v>
      </c>
      <c r="C408" s="173" t="s">
        <v>1637</v>
      </c>
      <c r="D408" s="188"/>
      <c r="E408" s="189"/>
      <c r="F408" s="189"/>
      <c r="G408" s="190"/>
      <c r="H408" s="174">
        <v>1.2368472395754277E-2</v>
      </c>
      <c r="I408" s="175">
        <v>1.187867535880887E-2</v>
      </c>
      <c r="J408" s="176">
        <v>4.7282514359398296E-4</v>
      </c>
      <c r="K408" s="191">
        <v>1.6971893351422938E-5</v>
      </c>
      <c r="L408" s="174">
        <v>1.1961391823241305E-2</v>
      </c>
      <c r="M408" s="175">
        <v>1.1487715358977401E-2</v>
      </c>
      <c r="N408" s="183">
        <v>4.5726316277743217E-4</v>
      </c>
      <c r="O408" s="192">
        <v>1.6413301486472994E-5</v>
      </c>
      <c r="R408" s="182"/>
      <c r="S408" s="182"/>
      <c r="T408" s="165"/>
      <c r="U408" s="1442"/>
      <c r="V408" s="1422"/>
    </row>
    <row r="409" spans="1:22">
      <c r="A409" s="1833"/>
      <c r="B409" s="173" t="s">
        <v>1641</v>
      </c>
      <c r="C409" s="173" t="s">
        <v>1637</v>
      </c>
      <c r="D409" s="188"/>
      <c r="E409" s="189"/>
      <c r="F409" s="189"/>
      <c r="G409" s="190"/>
      <c r="H409" s="174">
        <v>1.4628674222070072E-2</v>
      </c>
      <c r="I409" s="175">
        <v>1.4049372182242654E-2</v>
      </c>
      <c r="J409" s="176">
        <v>5.5922872027544892E-4</v>
      </c>
      <c r="K409" s="191">
        <v>2.0073319551969005E-5</v>
      </c>
      <c r="L409" s="174">
        <v>1.4147204167654139E-2</v>
      </c>
      <c r="M409" s="175">
        <v>1.3586968557251895E-2</v>
      </c>
      <c r="N409" s="180">
        <v>5.408229592136736E-4</v>
      </c>
      <c r="O409" s="192">
        <v>1.9412651188569813E-5</v>
      </c>
      <c r="R409" s="182"/>
      <c r="S409" s="182"/>
      <c r="T409" s="165"/>
      <c r="U409" s="1442"/>
      <c r="V409" s="1422"/>
    </row>
    <row r="410" spans="1:22">
      <c r="A410" s="1833" t="s">
        <v>1648</v>
      </c>
      <c r="B410" s="173" t="s">
        <v>1636</v>
      </c>
      <c r="C410" s="173" t="s">
        <v>1637</v>
      </c>
      <c r="D410" s="188"/>
      <c r="E410" s="189"/>
      <c r="F410" s="189"/>
      <c r="G410" s="190"/>
      <c r="H410" s="174">
        <v>2.1460853018309606E-2</v>
      </c>
      <c r="I410" s="175">
        <v>2.0610993643412415E-2</v>
      </c>
      <c r="J410" s="175">
        <v>8.2041100835660529E-4</v>
      </c>
      <c r="K410" s="191">
        <v>2.9448366540587775E-5</v>
      </c>
      <c r="L410" s="174">
        <v>2.0769383696830596E-2</v>
      </c>
      <c r="M410" s="175">
        <v>1.9946906816227145E-2</v>
      </c>
      <c r="N410" s="180">
        <v>7.939773413071984E-4</v>
      </c>
      <c r="O410" s="192">
        <v>2.8499539296250709E-5</v>
      </c>
      <c r="R410" s="182"/>
      <c r="S410" s="182"/>
      <c r="T410" s="165"/>
      <c r="U410" s="1442"/>
      <c r="V410" s="1422"/>
    </row>
    <row r="411" spans="1:22">
      <c r="A411" s="1833"/>
      <c r="B411" s="173" t="s">
        <v>1638</v>
      </c>
      <c r="C411" s="173" t="s">
        <v>1637</v>
      </c>
      <c r="D411" s="188"/>
      <c r="E411" s="189"/>
      <c r="F411" s="189"/>
      <c r="G411" s="190"/>
      <c r="H411" s="174">
        <v>2.3043590928409956E-2</v>
      </c>
      <c r="I411" s="175">
        <v>2.2131054424614095E-2</v>
      </c>
      <c r="J411" s="175">
        <v>8.8091632022290552E-4</v>
      </c>
      <c r="K411" s="191">
        <v>3.1620183572956145E-5</v>
      </c>
      <c r="L411" s="174">
        <v>2.2301125744471854E-2</v>
      </c>
      <c r="M411" s="175">
        <v>2.1417991193923899E-2</v>
      </c>
      <c r="N411" s="180">
        <v>8.5253317022860426E-4</v>
      </c>
      <c r="O411" s="192">
        <v>3.0601380319349202E-5</v>
      </c>
      <c r="R411" s="182"/>
      <c r="S411" s="182"/>
      <c r="T411" s="165"/>
      <c r="U411" s="1442"/>
      <c r="V411" s="1422"/>
    </row>
    <row r="412" spans="1:22">
      <c r="A412" s="1833"/>
      <c r="B412" s="173" t="s">
        <v>1639</v>
      </c>
      <c r="C412" s="173" t="s">
        <v>1637</v>
      </c>
      <c r="D412" s="188"/>
      <c r="E412" s="189"/>
      <c r="F412" s="189"/>
      <c r="G412" s="190"/>
      <c r="H412" s="174">
        <v>2.6071112628052895E-2</v>
      </c>
      <c r="I412" s="175">
        <v>2.5038684911314515E-2</v>
      </c>
      <c r="J412" s="175">
        <v>9.9665319835661576E-4</v>
      </c>
      <c r="K412" s="191">
        <v>3.5774518381763804E-5</v>
      </c>
      <c r="L412" s="174">
        <v>2.523110060505724E-2</v>
      </c>
      <c r="M412" s="175">
        <v>2.4231937740007661E-2</v>
      </c>
      <c r="N412" s="180">
        <v>9.6454100271231515E-4</v>
      </c>
      <c r="O412" s="192">
        <v>3.4621862337263987E-5</v>
      </c>
      <c r="R412" s="182"/>
      <c r="S412" s="182"/>
      <c r="T412" s="165"/>
      <c r="U412" s="1442"/>
      <c r="V412" s="1422"/>
    </row>
    <row r="413" spans="1:22">
      <c r="A413" s="1833"/>
      <c r="B413" s="173" t="s">
        <v>1640</v>
      </c>
      <c r="C413" s="173" t="s">
        <v>1637</v>
      </c>
      <c r="D413" s="188"/>
      <c r="E413" s="189"/>
      <c r="F413" s="189"/>
      <c r="G413" s="190"/>
      <c r="H413" s="174">
        <v>3.2109962590961071E-2</v>
      </c>
      <c r="I413" s="175">
        <v>3.0838393715658469E-2</v>
      </c>
      <c r="J413" s="175">
        <v>1.2275079077736593E-3</v>
      </c>
      <c r="K413" s="191">
        <v>4.4060967528944171E-5</v>
      </c>
      <c r="L413" s="174">
        <v>3.1075378642851256E-2</v>
      </c>
      <c r="M413" s="175">
        <v>2.9844779754467119E-2</v>
      </c>
      <c r="N413" s="180">
        <v>1.187957566537261E-3</v>
      </c>
      <c r="O413" s="192">
        <v>4.2641321846875845E-5</v>
      </c>
      <c r="R413" s="182"/>
      <c r="S413" s="182"/>
      <c r="T413" s="165"/>
      <c r="U413" s="1442"/>
      <c r="V413" s="1422"/>
    </row>
    <row r="414" spans="1:22">
      <c r="A414" s="1833"/>
      <c r="B414" s="173" t="s">
        <v>1641</v>
      </c>
      <c r="C414" s="173" t="s">
        <v>1637</v>
      </c>
      <c r="D414" s="193"/>
      <c r="E414" s="194"/>
      <c r="F414" s="194"/>
      <c r="G414" s="195"/>
      <c r="H414" s="174">
        <v>3.7534568741519031E-2</v>
      </c>
      <c r="I414" s="175">
        <v>3.6048183037256112E-2</v>
      </c>
      <c r="J414" s="175">
        <v>1.4348811467646619E-3</v>
      </c>
      <c r="K414" s="191">
        <v>5.150455749825567E-5</v>
      </c>
      <c r="L414" s="174">
        <v>3.6325203822167418E-2</v>
      </c>
      <c r="M414" s="175">
        <v>3.4886709509430541E-2</v>
      </c>
      <c r="N414" s="180">
        <v>1.3886492336105168E-3</v>
      </c>
      <c r="O414" s="192">
        <v>4.9845079126356361E-5</v>
      </c>
    </row>
    <row r="415" spans="1:22">
      <c r="A415" s="196"/>
      <c r="B415" s="196"/>
      <c r="C415" s="196"/>
      <c r="D415" s="196"/>
      <c r="E415" s="196"/>
      <c r="F415" s="196"/>
      <c r="G415" s="196"/>
      <c r="H415" s="196"/>
      <c r="I415" s="196"/>
      <c r="J415" s="196"/>
      <c r="K415" s="196"/>
      <c r="L415" s="196"/>
      <c r="M415" s="196"/>
      <c r="N415" s="196"/>
      <c r="O415" s="196"/>
    </row>
    <row r="416" spans="1:22">
      <c r="A416" s="197" t="s">
        <v>1649</v>
      </c>
      <c r="B416" s="198"/>
      <c r="C416" s="198"/>
      <c r="D416" s="198"/>
      <c r="E416" s="198"/>
      <c r="F416" s="198"/>
      <c r="G416" s="198"/>
    </row>
    <row r="417" spans="1:22" ht="24" customHeight="1">
      <c r="A417" s="1923"/>
      <c r="B417" s="1924"/>
      <c r="C417" s="1924"/>
      <c r="D417" s="1925" t="s">
        <v>1650</v>
      </c>
      <c r="E417" s="1925"/>
      <c r="F417" s="1925"/>
      <c r="G417" s="1925"/>
    </row>
    <row r="418" spans="1:22" ht="18">
      <c r="A418" s="1944" t="s">
        <v>1613</v>
      </c>
      <c r="B418" s="1945"/>
      <c r="C418" s="199" t="s">
        <v>1340</v>
      </c>
      <c r="D418" s="171" t="s">
        <v>1614</v>
      </c>
      <c r="E418" s="172" t="s">
        <v>1615</v>
      </c>
      <c r="F418" s="172" t="s">
        <v>1616</v>
      </c>
      <c r="G418" s="172" t="s">
        <v>1617</v>
      </c>
      <c r="R418" s="165"/>
    </row>
    <row r="419" spans="1:22">
      <c r="A419" s="1942" t="s">
        <v>72</v>
      </c>
      <c r="B419" s="1943"/>
      <c r="C419" s="200" t="s">
        <v>1637</v>
      </c>
      <c r="D419" s="201">
        <v>0.31671076482504879</v>
      </c>
      <c r="E419" s="202">
        <v>0.30284214034579632</v>
      </c>
      <c r="F419" s="202">
        <v>3.5654768449309062E-3</v>
      </c>
      <c r="G419" s="202">
        <v>1.0303147634321554E-2</v>
      </c>
      <c r="H419" s="196"/>
      <c r="I419" s="196"/>
      <c r="J419" s="196"/>
      <c r="K419" s="196"/>
      <c r="L419" s="196"/>
      <c r="M419" s="196"/>
      <c r="N419" s="196"/>
      <c r="O419" s="196"/>
      <c r="Q419" s="182"/>
      <c r="R419" s="165"/>
    </row>
    <row r="420" spans="1:22">
      <c r="A420" s="1941" t="s">
        <v>70</v>
      </c>
      <c r="B420" s="1941"/>
      <c r="C420" s="200" t="s">
        <v>1637</v>
      </c>
      <c r="D420" s="201">
        <v>0.29601224640896162</v>
      </c>
      <c r="E420" s="202">
        <v>0.29098770284870873</v>
      </c>
      <c r="F420" s="203">
        <v>3.888965603910927E-4</v>
      </c>
      <c r="G420" s="202">
        <v>4.6356469998618246E-3</v>
      </c>
      <c r="H420" s="196"/>
      <c r="I420" s="196"/>
      <c r="J420" s="196"/>
      <c r="K420" s="196"/>
      <c r="L420" s="196"/>
      <c r="M420" s="196"/>
      <c r="N420" s="196"/>
      <c r="O420" s="196"/>
      <c r="Q420" s="182"/>
      <c r="R420" s="165"/>
    </row>
    <row r="421" spans="1:22">
      <c r="A421" s="1941" t="s">
        <v>1651</v>
      </c>
      <c r="B421" s="1941"/>
      <c r="C421" s="200" t="s">
        <v>1637</v>
      </c>
      <c r="D421" s="201">
        <v>0.2500348143355649</v>
      </c>
      <c r="E421" s="202">
        <v>0.23908590027299714</v>
      </c>
      <c r="F421" s="202">
        <v>2.8148501407349266E-3</v>
      </c>
      <c r="G421" s="202">
        <v>8.1340639218328067E-3</v>
      </c>
      <c r="H421" s="196"/>
      <c r="I421" s="196"/>
      <c r="J421" s="196"/>
      <c r="K421" s="196"/>
      <c r="L421" s="196"/>
      <c r="M421" s="196"/>
      <c r="N421" s="196"/>
      <c r="O421" s="196"/>
      <c r="Q421" s="182"/>
      <c r="R421" s="165"/>
    </row>
    <row r="422" spans="1:22">
      <c r="A422" s="1941" t="s">
        <v>1652</v>
      </c>
      <c r="B422" s="1941"/>
      <c r="C422" s="200" t="s">
        <v>1637</v>
      </c>
      <c r="D422" s="201">
        <v>0.26535383517374728</v>
      </c>
      <c r="E422" s="202">
        <v>0.26084969076794917</v>
      </c>
      <c r="F422" s="203">
        <v>3.4861798806487185E-4</v>
      </c>
      <c r="G422" s="202">
        <v>4.1555264177332721E-3</v>
      </c>
      <c r="H422" s="196"/>
      <c r="I422" s="196"/>
      <c r="J422" s="196"/>
      <c r="K422" s="196"/>
      <c r="L422" s="196"/>
      <c r="M422" s="196"/>
      <c r="N422" s="196"/>
      <c r="O422" s="196"/>
      <c r="Q422" s="182"/>
    </row>
    <row r="423" spans="1:22">
      <c r="A423" s="196"/>
      <c r="B423" s="196"/>
      <c r="C423" s="196"/>
      <c r="D423" s="196"/>
      <c r="E423" s="196"/>
      <c r="F423" s="196"/>
      <c r="G423" s="196"/>
      <c r="H423" s="196"/>
      <c r="I423" s="196"/>
      <c r="J423" s="196"/>
      <c r="K423" s="196"/>
      <c r="L423" s="196"/>
      <c r="M423" s="196"/>
      <c r="N423" s="196"/>
      <c r="O423" s="196"/>
    </row>
    <row r="424" spans="1:22" ht="15" customHeight="1"/>
    <row r="425" spans="1:22">
      <c r="A425" s="1955" t="s">
        <v>1653</v>
      </c>
      <c r="B425" s="1955"/>
      <c r="C425" s="1955"/>
      <c r="D425" s="1955"/>
      <c r="E425" s="1955"/>
      <c r="F425" s="1955"/>
      <c r="G425" s="1955"/>
      <c r="H425" s="1955"/>
      <c r="I425" s="1955"/>
      <c r="J425" s="1955"/>
      <c r="K425" s="1955"/>
      <c r="L425" s="1955"/>
      <c r="M425" s="1955"/>
      <c r="N425" s="1955"/>
      <c r="O425" s="1955"/>
    </row>
    <row r="426" spans="1:22" ht="19.5" customHeight="1">
      <c r="A426" s="1923"/>
      <c r="B426" s="1924"/>
      <c r="C426" s="1924"/>
      <c r="D426" s="1925" t="s">
        <v>1633</v>
      </c>
      <c r="E426" s="1925"/>
      <c r="F426" s="1925"/>
      <c r="G426" s="1925"/>
      <c r="H426" s="1925" t="s">
        <v>1634</v>
      </c>
      <c r="I426" s="1925"/>
      <c r="J426" s="1925"/>
      <c r="K426" s="1925"/>
      <c r="L426" s="1925" t="s">
        <v>1635</v>
      </c>
      <c r="M426" s="1925"/>
      <c r="N426" s="1925"/>
      <c r="O426" s="1952"/>
    </row>
    <row r="427" spans="1:22" ht="18">
      <c r="A427" s="1810" t="s">
        <v>1613</v>
      </c>
      <c r="B427" s="1837"/>
      <c r="C427" s="170" t="s">
        <v>1340</v>
      </c>
      <c r="D427" s="171" t="s">
        <v>1614</v>
      </c>
      <c r="E427" s="172" t="s">
        <v>1615</v>
      </c>
      <c r="F427" s="172" t="s">
        <v>1616</v>
      </c>
      <c r="G427" s="172" t="s">
        <v>1617</v>
      </c>
      <c r="H427" s="171" t="s">
        <v>1614</v>
      </c>
      <c r="I427" s="172" t="s">
        <v>1615</v>
      </c>
      <c r="J427" s="172" t="s">
        <v>1616</v>
      </c>
      <c r="K427" s="172" t="s">
        <v>1617</v>
      </c>
      <c r="L427" s="171" t="s">
        <v>1614</v>
      </c>
      <c r="M427" s="172" t="s">
        <v>1615</v>
      </c>
      <c r="N427" s="172" t="s">
        <v>1616</v>
      </c>
      <c r="O427" s="172" t="s">
        <v>1617</v>
      </c>
      <c r="R427" s="182"/>
      <c r="S427" s="182"/>
      <c r="T427" s="165"/>
      <c r="U427" s="1442"/>
      <c r="V427" s="1422"/>
    </row>
    <row r="428" spans="1:22">
      <c r="A428" s="1948" t="s">
        <v>1654</v>
      </c>
      <c r="B428" s="173" t="s">
        <v>1655</v>
      </c>
      <c r="C428" s="173" t="s">
        <v>1637</v>
      </c>
      <c r="D428" s="174">
        <v>0.44552164285599</v>
      </c>
      <c r="E428" s="204">
        <v>0.43889678571314994</v>
      </c>
      <c r="F428" s="204">
        <v>5.8629985714134009E-4</v>
      </c>
      <c r="G428" s="204">
        <v>6.9892242856962007E-3</v>
      </c>
      <c r="H428" s="174">
        <v>0.42276234195942003</v>
      </c>
      <c r="I428" s="204">
        <v>0.41647591308270004</v>
      </c>
      <c r="J428" s="204">
        <v>5.5634895558972E-4</v>
      </c>
      <c r="K428" s="204">
        <v>6.6321824649396002E-3</v>
      </c>
      <c r="L428" s="174">
        <v>0.42121662942786003</v>
      </c>
      <c r="M428" s="204">
        <v>0.41495318512410001</v>
      </c>
      <c r="N428" s="205">
        <v>5.5431482088275997E-4</v>
      </c>
      <c r="O428" s="205">
        <v>6.6079337404668006E-3</v>
      </c>
      <c r="Q428" s="182"/>
      <c r="R428" s="182"/>
      <c r="S428" s="182"/>
      <c r="T428" s="165"/>
      <c r="U428" s="1442"/>
      <c r="V428" s="1422"/>
    </row>
    <row r="429" spans="1:22">
      <c r="A429" s="1949"/>
      <c r="B429" s="173" t="s">
        <v>1656</v>
      </c>
      <c r="C429" s="173" t="s">
        <v>1637</v>
      </c>
      <c r="D429" s="174">
        <v>0.51042269642933991</v>
      </c>
      <c r="E429" s="204">
        <v>0.50283276785789999</v>
      </c>
      <c r="F429" s="204">
        <v>6.7170867857243991E-4</v>
      </c>
      <c r="G429" s="204">
        <v>8.0073746428692E-3</v>
      </c>
      <c r="H429" s="174">
        <v>0.48434795029859001</v>
      </c>
      <c r="I429" s="204">
        <v>0.47714575029415002</v>
      </c>
      <c r="J429" s="204">
        <v>6.3739470039294005E-4</v>
      </c>
      <c r="K429" s="204">
        <v>7.5983210046842008E-3</v>
      </c>
      <c r="L429" s="174">
        <v>0.47706049696657005</v>
      </c>
      <c r="M429" s="204">
        <v>0.46996666058045</v>
      </c>
      <c r="N429" s="205">
        <v>6.2780452017162011E-4</v>
      </c>
      <c r="O429" s="205">
        <v>7.4839973873566E-3</v>
      </c>
      <c r="Q429" s="182"/>
      <c r="R429" s="182"/>
      <c r="S429" s="182"/>
      <c r="T429" s="165"/>
      <c r="U429" s="1442"/>
      <c r="V429" s="1422"/>
    </row>
    <row r="430" spans="1:22">
      <c r="A430" s="1949"/>
      <c r="B430" s="173" t="s">
        <v>1657</v>
      </c>
      <c r="C430" s="173" t="s">
        <v>1637</v>
      </c>
      <c r="D430" s="174">
        <v>0.62407039285598997</v>
      </c>
      <c r="E430" s="204">
        <v>0.6147905357131499</v>
      </c>
      <c r="F430" s="204">
        <v>8.2126735714133992E-4</v>
      </c>
      <c r="G430" s="204">
        <v>9.7902492856962002E-3</v>
      </c>
      <c r="H430" s="174">
        <v>0.59218999808837991</v>
      </c>
      <c r="I430" s="204">
        <v>0.58338419886029991</v>
      </c>
      <c r="J430" s="204">
        <v>7.7931323168507999E-4</v>
      </c>
      <c r="K430" s="204">
        <v>9.2901181856243995E-3</v>
      </c>
      <c r="L430" s="174">
        <v>0.58327996352992995</v>
      </c>
      <c r="M430" s="204">
        <v>0.57460665552205004</v>
      </c>
      <c r="N430" s="205">
        <v>7.6758775869738001E-4</v>
      </c>
      <c r="O430" s="205">
        <v>9.1503399483134004E-3</v>
      </c>
      <c r="Q430" s="182"/>
      <c r="R430" s="182"/>
      <c r="S430" s="182"/>
      <c r="T430" s="165"/>
      <c r="U430" s="1442"/>
      <c r="V430" s="1422"/>
    </row>
    <row r="431" spans="1:22">
      <c r="A431" s="1949"/>
      <c r="B431" s="173" t="s">
        <v>1658</v>
      </c>
      <c r="C431" s="173" t="s">
        <v>1637</v>
      </c>
      <c r="D431" s="174">
        <v>0.73998537499999995</v>
      </c>
      <c r="E431" s="204">
        <v>0.72898187499999989</v>
      </c>
      <c r="F431" s="204">
        <v>9.7380975000000011E-4</v>
      </c>
      <c r="G431" s="204">
        <v>1.16086925E-2</v>
      </c>
      <c r="H431" s="174">
        <v>0.70218350817944997</v>
      </c>
      <c r="I431" s="204">
        <v>0.69174211772324989</v>
      </c>
      <c r="J431" s="204">
        <v>9.2406305537370002E-4</v>
      </c>
      <c r="K431" s="204">
        <v>1.1015666931291E-2</v>
      </c>
      <c r="L431" s="174">
        <v>0.69161852169853011</v>
      </c>
      <c r="M431" s="204">
        <v>0.68133423141305005</v>
      </c>
      <c r="N431" s="205">
        <v>9.1015969026497995E-4</v>
      </c>
      <c r="O431" s="205">
        <v>1.0849926251181401E-2</v>
      </c>
      <c r="Q431" s="182"/>
      <c r="R431" s="182"/>
      <c r="S431" s="182"/>
      <c r="T431" s="165"/>
      <c r="U431" s="1442"/>
      <c r="V431" s="1422"/>
    </row>
    <row r="432" spans="1:22">
      <c r="A432" s="1949"/>
      <c r="B432" s="173" t="s">
        <v>1659</v>
      </c>
      <c r="C432" s="173" t="s">
        <v>1637</v>
      </c>
      <c r="D432" s="174">
        <v>0.84087958928533002</v>
      </c>
      <c r="E432" s="204">
        <v>0.82837580357105001</v>
      </c>
      <c r="F432" s="204">
        <v>1.10658503571378E-3</v>
      </c>
      <c r="G432" s="204">
        <v>1.3191493928565398E-2</v>
      </c>
      <c r="H432" s="174">
        <v>0.79792358052991996</v>
      </c>
      <c r="I432" s="204">
        <v>0.78605854587519997</v>
      </c>
      <c r="J432" s="204">
        <v>1.05005556694272E-3</v>
      </c>
      <c r="K432" s="204">
        <v>1.25176115607296E-2</v>
      </c>
      <c r="L432" s="174">
        <v>0.78591809799989998</v>
      </c>
      <c r="M432" s="204">
        <v>0.77423158353150001</v>
      </c>
      <c r="N432" s="205">
        <v>1.0342565304534001E-3</v>
      </c>
      <c r="O432" s="205">
        <v>1.2329272764162E-2</v>
      </c>
      <c r="Q432" s="182"/>
      <c r="R432" s="182"/>
      <c r="S432" s="182"/>
      <c r="T432" s="165"/>
      <c r="U432" s="1442"/>
      <c r="V432" s="1422"/>
    </row>
    <row r="433" spans="1:22">
      <c r="A433" s="1949"/>
      <c r="B433" s="173" t="s">
        <v>1660</v>
      </c>
      <c r="C433" s="173" t="s">
        <v>1637</v>
      </c>
      <c r="D433" s="174">
        <v>0.98218625000000004</v>
      </c>
      <c r="E433" s="204">
        <v>0.96758125000000006</v>
      </c>
      <c r="F433" s="204">
        <v>1.2925425000000002E-3</v>
      </c>
      <c r="G433" s="204">
        <v>1.5408275000000003E-2</v>
      </c>
      <c r="H433" s="174">
        <v>0.95724726000000004</v>
      </c>
      <c r="I433" s="204">
        <v>0.94301310000000005</v>
      </c>
      <c r="J433" s="204">
        <v>1.2597231599999999E-3</v>
      </c>
      <c r="K433" s="204">
        <v>1.50170388E-2</v>
      </c>
      <c r="L433" s="174">
        <v>0.95497132014376007</v>
      </c>
      <c r="M433" s="204">
        <v>0.94077100311560002</v>
      </c>
      <c r="N433" s="205">
        <v>1.2567280569921603E-3</v>
      </c>
      <c r="O433" s="205">
        <v>1.4981334464708802E-2</v>
      </c>
      <c r="Q433" s="182"/>
      <c r="R433" s="182"/>
      <c r="S433" s="182"/>
      <c r="T433" s="165"/>
      <c r="U433" s="1442"/>
      <c r="V433" s="1422"/>
    </row>
    <row r="434" spans="1:22">
      <c r="A434" s="1949"/>
      <c r="B434" s="173" t="s">
        <v>1661</v>
      </c>
      <c r="C434" s="173" t="s">
        <v>1637</v>
      </c>
      <c r="D434" s="174">
        <v>1.30755616071467</v>
      </c>
      <c r="E434" s="204">
        <v>1.28811294642895</v>
      </c>
      <c r="F434" s="204">
        <v>1.7207244642862202E-3</v>
      </c>
      <c r="G434" s="204">
        <v>2.0512591071434601E-2</v>
      </c>
      <c r="H434" s="174">
        <v>1.2743556042853299</v>
      </c>
      <c r="I434" s="204">
        <v>1.2554060785710499</v>
      </c>
      <c r="J434" s="204">
        <v>1.6770330257137799E-3</v>
      </c>
      <c r="K434" s="204">
        <v>1.9991749628565401E-2</v>
      </c>
      <c r="L434" s="174">
        <v>1.2713257113501399</v>
      </c>
      <c r="M434" s="204">
        <v>1.2524212398059</v>
      </c>
      <c r="N434" s="205">
        <v>1.6730457316652401E-3</v>
      </c>
      <c r="O434" s="205">
        <v>1.9944217479173201E-2</v>
      </c>
      <c r="Q434" s="182"/>
      <c r="R434" s="182"/>
      <c r="S434" s="182"/>
      <c r="T434" s="165"/>
      <c r="U434" s="1442"/>
      <c r="V434" s="1422"/>
    </row>
    <row r="435" spans="1:22">
      <c r="A435" s="1949"/>
      <c r="B435" s="173" t="s">
        <v>1662</v>
      </c>
      <c r="C435" s="173" t="s">
        <v>1637</v>
      </c>
      <c r="D435" s="174">
        <v>1.4600215178559899</v>
      </c>
      <c r="E435" s="204">
        <v>1.43831116071315</v>
      </c>
      <c r="F435" s="204">
        <v>1.9213666071413399E-3</v>
      </c>
      <c r="G435" s="204">
        <v>2.2904426785696201E-2</v>
      </c>
      <c r="H435" s="174">
        <v>1.4229496671440101</v>
      </c>
      <c r="I435" s="204">
        <v>1.4017905642868498</v>
      </c>
      <c r="J435" s="204">
        <v>1.8725806028586601E-3</v>
      </c>
      <c r="K435" s="204">
        <v>2.2322853514303801E-2</v>
      </c>
      <c r="L435" s="174">
        <v>1.4195664787063997</v>
      </c>
      <c r="M435" s="204">
        <v>1.3984576834839999</v>
      </c>
      <c r="N435" s="205">
        <v>1.8681283771824E-3</v>
      </c>
      <c r="O435" s="205">
        <v>2.2269778959631999E-2</v>
      </c>
      <c r="Q435" s="182"/>
      <c r="R435" s="182"/>
      <c r="S435" s="182"/>
      <c r="T435" s="165"/>
      <c r="U435" s="1442"/>
      <c r="V435" s="1422"/>
    </row>
    <row r="436" spans="1:22">
      <c r="A436" s="1950"/>
      <c r="B436" s="173" t="s">
        <v>1663</v>
      </c>
      <c r="C436" s="173" t="s">
        <v>1637</v>
      </c>
      <c r="D436" s="174">
        <v>1.5381876339293399</v>
      </c>
      <c r="E436" s="204">
        <v>1.5153149553579</v>
      </c>
      <c r="F436" s="204">
        <v>2.0242320535724403E-3</v>
      </c>
      <c r="G436" s="204">
        <v>2.4130675892869199E-2</v>
      </c>
      <c r="H436" s="174">
        <v>1.4991310435706597</v>
      </c>
      <c r="I436" s="204">
        <v>1.4768391321420997</v>
      </c>
      <c r="J436" s="204">
        <v>1.9728341614275598E-3</v>
      </c>
      <c r="K436" s="204">
        <v>2.3517966557130801E-2</v>
      </c>
      <c r="L436" s="174">
        <v>1.49556672718684</v>
      </c>
      <c r="M436" s="204">
        <v>1.4733278167454</v>
      </c>
      <c r="N436" s="205">
        <v>1.9681435740674402E-3</v>
      </c>
      <c r="O436" s="205">
        <v>2.3462050515719205E-2</v>
      </c>
      <c r="Q436" s="182"/>
      <c r="R436" s="182"/>
      <c r="S436" s="182"/>
      <c r="T436" s="165"/>
      <c r="U436" s="1442"/>
      <c r="V436" s="1422"/>
    </row>
    <row r="437" spans="1:22">
      <c r="A437" s="1948" t="s">
        <v>1664</v>
      </c>
      <c r="B437" s="173" t="s">
        <v>1655</v>
      </c>
      <c r="C437" s="173" t="s">
        <v>1637</v>
      </c>
      <c r="D437" s="174">
        <v>0.35907714498844995</v>
      </c>
      <c r="E437" s="204">
        <v>0.35373770788824999</v>
      </c>
      <c r="F437" s="205">
        <v>4.7254018336770001E-4</v>
      </c>
      <c r="G437" s="204">
        <v>5.6331061407110007E-3</v>
      </c>
      <c r="H437" s="174">
        <v>0.34033824687412995</v>
      </c>
      <c r="I437" s="204">
        <v>0.33527745509904994</v>
      </c>
      <c r="J437" s="205">
        <v>4.4788007209458004E-4</v>
      </c>
      <c r="K437" s="205">
        <v>5.3391353227093992E-3</v>
      </c>
      <c r="L437" s="174">
        <v>0.33204021708591003</v>
      </c>
      <c r="M437" s="204">
        <v>0.32710281608835001</v>
      </c>
      <c r="N437" s="205">
        <v>4.3695998828406006E-4</v>
      </c>
      <c r="O437" s="205">
        <v>5.2089580524258003E-3</v>
      </c>
      <c r="Q437" s="182"/>
      <c r="R437" s="182"/>
      <c r="S437" s="182"/>
      <c r="T437" s="165"/>
      <c r="U437" s="1442"/>
      <c r="V437" s="1422"/>
    </row>
    <row r="438" spans="1:22">
      <c r="A438" s="1949"/>
      <c r="B438" s="173" t="s">
        <v>1656</v>
      </c>
      <c r="C438" s="173" t="s">
        <v>1637</v>
      </c>
      <c r="D438" s="174">
        <v>0.41138545682172001</v>
      </c>
      <c r="E438" s="204">
        <v>0.40526820095819999</v>
      </c>
      <c r="F438" s="205">
        <v>5.4137714392152E-4</v>
      </c>
      <c r="G438" s="204">
        <v>6.4537049360136002E-3</v>
      </c>
      <c r="H438" s="174">
        <v>0.38991678283948</v>
      </c>
      <c r="I438" s="204">
        <v>0.3841187637638</v>
      </c>
      <c r="J438" s="205">
        <v>5.1312468819768005E-4</v>
      </c>
      <c r="K438" s="205">
        <v>6.1169101248424E-3</v>
      </c>
      <c r="L438" s="174">
        <v>0.38040994336387002</v>
      </c>
      <c r="M438" s="204">
        <v>0.37475328993094997</v>
      </c>
      <c r="N438" s="205">
        <v>5.0061382881342003E-4</v>
      </c>
      <c r="O438" s="205">
        <v>5.9677693717305998E-3</v>
      </c>
      <c r="Q438" s="182"/>
      <c r="R438" s="182"/>
      <c r="S438" s="182"/>
      <c r="T438" s="165"/>
      <c r="U438" s="1442"/>
      <c r="V438" s="1422"/>
    </row>
    <row r="439" spans="1:22">
      <c r="A439" s="1949"/>
      <c r="B439" s="173" t="s">
        <v>1657</v>
      </c>
      <c r="C439" s="173" t="s">
        <v>1637</v>
      </c>
      <c r="D439" s="174">
        <v>0.50298210767578</v>
      </c>
      <c r="E439" s="204">
        <v>0.49550281982929995</v>
      </c>
      <c r="F439" s="205">
        <v>6.6191697441348005E-4</v>
      </c>
      <c r="G439" s="204">
        <v>7.8906486780363997E-3</v>
      </c>
      <c r="H439" s="174">
        <v>0.47673334581356003</v>
      </c>
      <c r="I439" s="204">
        <v>0.4696443741286</v>
      </c>
      <c r="J439" s="205">
        <v>6.2737399411895997E-4</v>
      </c>
      <c r="K439" s="205">
        <v>7.4788651276328014E-3</v>
      </c>
      <c r="L439" s="174">
        <v>0.46510976973356</v>
      </c>
      <c r="M439" s="204">
        <v>0.45819363932860002</v>
      </c>
      <c r="N439" s="205">
        <v>6.1207754083896003E-4</v>
      </c>
      <c r="O439" s="205">
        <v>7.2965175772328004E-3</v>
      </c>
      <c r="Q439" s="182"/>
      <c r="R439" s="182"/>
      <c r="S439" s="182"/>
      <c r="T439" s="165"/>
      <c r="U439" s="1442"/>
      <c r="V439" s="1422"/>
    </row>
    <row r="440" spans="1:22">
      <c r="A440" s="1949"/>
      <c r="B440" s="173" t="s">
        <v>1658</v>
      </c>
      <c r="C440" s="173" t="s">
        <v>1637</v>
      </c>
      <c r="D440" s="174">
        <v>0.59640612313477004</v>
      </c>
      <c r="E440" s="204">
        <v>0.58753763059745001</v>
      </c>
      <c r="F440" s="205">
        <v>7.8486158955282006E-4</v>
      </c>
      <c r="G440" s="204">
        <v>9.3562596268726012E-3</v>
      </c>
      <c r="H440" s="174">
        <v>0.56528191004385997</v>
      </c>
      <c r="I440" s="204">
        <v>0.5568762310841</v>
      </c>
      <c r="J440" s="205">
        <v>7.4390258793876002E-4</v>
      </c>
      <c r="K440" s="205">
        <v>8.8679913025468005E-3</v>
      </c>
      <c r="L440" s="174">
        <v>0.55149936819809997</v>
      </c>
      <c r="M440" s="204">
        <v>0.54329863409849999</v>
      </c>
      <c r="N440" s="205">
        <v>7.257649678146E-4</v>
      </c>
      <c r="O440" s="205">
        <v>8.6517744750780005E-3</v>
      </c>
      <c r="Q440" s="182"/>
      <c r="R440" s="182"/>
      <c r="S440" s="182"/>
      <c r="T440" s="165"/>
      <c r="U440" s="1442"/>
      <c r="V440" s="1422"/>
    </row>
    <row r="441" spans="1:22">
      <c r="A441" s="1949"/>
      <c r="B441" s="173" t="s">
        <v>1659</v>
      </c>
      <c r="C441" s="173" t="s">
        <v>1637</v>
      </c>
      <c r="D441" s="174">
        <v>0.67772384807970998</v>
      </c>
      <c r="E441" s="204">
        <v>0.66764617004134985</v>
      </c>
      <c r="F441" s="205">
        <v>8.9187450639486004E-4</v>
      </c>
      <c r="G441" s="204">
        <v>1.0631950330469798E-2</v>
      </c>
      <c r="H441" s="174">
        <v>0.64235596595372002</v>
      </c>
      <c r="I441" s="204">
        <v>0.63280420437819995</v>
      </c>
      <c r="J441" s="205">
        <v>8.4533089943352E-4</v>
      </c>
      <c r="K441" s="205">
        <v>1.0077108462173601E-2</v>
      </c>
      <c r="L441" s="174">
        <v>0.6266942265198</v>
      </c>
      <c r="M441" s="204">
        <v>0.61737535326300008</v>
      </c>
      <c r="N441" s="205">
        <v>8.2472028322680012E-4</v>
      </c>
      <c r="O441" s="205">
        <v>9.8314112859240015E-3</v>
      </c>
      <c r="Q441" s="182"/>
      <c r="R441" s="182"/>
      <c r="S441" s="182"/>
      <c r="T441" s="165"/>
      <c r="U441" s="1442"/>
      <c r="V441" s="1422"/>
    </row>
    <row r="442" spans="1:22">
      <c r="A442" s="1949"/>
      <c r="B442" s="173" t="s">
        <v>1660</v>
      </c>
      <c r="C442" s="173" t="s">
        <v>1637</v>
      </c>
      <c r="D442" s="174">
        <v>0.89275269137707991</v>
      </c>
      <c r="E442" s="204">
        <v>0.8794775584197998</v>
      </c>
      <c r="F442" s="205">
        <v>1.1748492667192801E-3</v>
      </c>
      <c r="G442" s="204">
        <v>1.40052652699304E-2</v>
      </c>
      <c r="H442" s="174">
        <v>0.87008453608406999</v>
      </c>
      <c r="I442" s="204">
        <v>0.85714647606795002</v>
      </c>
      <c r="J442" s="205">
        <v>1.14501831142662E-3</v>
      </c>
      <c r="K442" s="205">
        <v>1.3649653317006601E-2</v>
      </c>
      <c r="L442" s="174">
        <v>0.86801583329790011</v>
      </c>
      <c r="M442" s="204">
        <v>0.85510853466149994</v>
      </c>
      <c r="N442" s="205">
        <v>1.1422959293214E-3</v>
      </c>
      <c r="O442" s="205">
        <v>1.3617200061402001E-2</v>
      </c>
      <c r="Q442" s="182"/>
      <c r="R442" s="182"/>
      <c r="S442" s="182"/>
      <c r="T442" s="165"/>
      <c r="U442" s="1442"/>
      <c r="V442" s="1422"/>
    </row>
    <row r="443" spans="1:22">
      <c r="A443" s="1949"/>
      <c r="B443" s="173" t="s">
        <v>1661</v>
      </c>
      <c r="C443" s="173" t="s">
        <v>1637</v>
      </c>
      <c r="D443" s="174">
        <v>1.18849584954442</v>
      </c>
      <c r="E443" s="204">
        <v>1.1708230488077001</v>
      </c>
      <c r="F443" s="205">
        <v>1.5640428651997201E-3</v>
      </c>
      <c r="G443" s="204">
        <v>1.86448047772396E-2</v>
      </c>
      <c r="H443" s="174">
        <v>1.15831838971416</v>
      </c>
      <c r="I443" s="204">
        <v>1.1410943244395999</v>
      </c>
      <c r="J443" s="205">
        <v>1.52432977679856E-3</v>
      </c>
      <c r="K443" s="205">
        <v>1.8171388864660801E-2</v>
      </c>
      <c r="L443" s="174">
        <v>1.1555643854977498</v>
      </c>
      <c r="M443" s="204">
        <v>1.1383812719587498</v>
      </c>
      <c r="N443" s="205">
        <v>1.5207055482015001E-3</v>
      </c>
      <c r="O443" s="205">
        <v>1.8128184783644998E-2</v>
      </c>
      <c r="Q443" s="182"/>
      <c r="R443" s="182"/>
      <c r="S443" s="182"/>
      <c r="T443" s="165"/>
      <c r="U443" s="1442"/>
      <c r="V443" s="1422"/>
    </row>
    <row r="444" spans="1:22">
      <c r="A444" s="1949"/>
      <c r="B444" s="173" t="s">
        <v>1662</v>
      </c>
      <c r="C444" s="173" t="s">
        <v>1637</v>
      </c>
      <c r="D444" s="174">
        <v>1.3723576097077699</v>
      </c>
      <c r="E444" s="204">
        <v>1.35195080510245</v>
      </c>
      <c r="F444" s="205">
        <v>1.80600220757082E-3</v>
      </c>
      <c r="G444" s="204">
        <v>2.1529178858612597E-2</v>
      </c>
      <c r="H444" s="174">
        <v>1.3375116599669901</v>
      </c>
      <c r="I444" s="204">
        <v>1.3176230107481501</v>
      </c>
      <c r="J444" s="205">
        <v>1.7601454558673403E-3</v>
      </c>
      <c r="K444" s="205">
        <v>2.0982524925876201E-2</v>
      </c>
      <c r="L444" s="174">
        <v>1.33433160793117</v>
      </c>
      <c r="M444" s="204">
        <v>1.31449024573145</v>
      </c>
      <c r="N444" s="205">
        <v>1.7559605546752202E-3</v>
      </c>
      <c r="O444" s="205">
        <v>2.0932637120704603E-2</v>
      </c>
      <c r="Q444" s="182"/>
      <c r="R444" s="182"/>
      <c r="S444" s="182"/>
      <c r="T444" s="165"/>
      <c r="U444" s="1442"/>
      <c r="V444" s="1422"/>
    </row>
    <row r="445" spans="1:22">
      <c r="A445" s="1950"/>
      <c r="B445" s="173" t="s">
        <v>1663</v>
      </c>
      <c r="C445" s="173" t="s">
        <v>1637</v>
      </c>
      <c r="D445" s="174">
        <v>1.4458304064442999</v>
      </c>
      <c r="E445" s="204">
        <v>1.4243310695455</v>
      </c>
      <c r="F445" s="205">
        <v>1.9026913155438E-3</v>
      </c>
      <c r="G445" s="204">
        <v>2.2681800428233999E-2</v>
      </c>
      <c r="H445" s="174">
        <v>1.40911888655852</v>
      </c>
      <c r="I445" s="204">
        <v>1.3881654458662001</v>
      </c>
      <c r="J445" s="205">
        <v>1.8543795012703201E-3</v>
      </c>
      <c r="K445" s="205">
        <v>2.2105879930397601E-2</v>
      </c>
      <c r="L445" s="174">
        <v>1.40576858202322</v>
      </c>
      <c r="M445" s="204">
        <v>1.3848649599857001</v>
      </c>
      <c r="N445" s="205">
        <v>1.8499705503205203E-3</v>
      </c>
      <c r="O445" s="205">
        <v>2.2053321249583601E-2</v>
      </c>
      <c r="Q445" s="182"/>
      <c r="R445" s="182"/>
      <c r="S445" s="182"/>
      <c r="T445" s="165"/>
      <c r="U445" s="1442"/>
      <c r="V445" s="1422"/>
    </row>
    <row r="446" spans="1:22">
      <c r="A446" s="1953" t="s">
        <v>1665</v>
      </c>
      <c r="B446" s="173" t="s">
        <v>1655</v>
      </c>
      <c r="C446" s="173" t="s">
        <v>1637</v>
      </c>
      <c r="D446" s="206" t="s">
        <v>1666</v>
      </c>
      <c r="E446" s="206" t="s">
        <v>1666</v>
      </c>
      <c r="F446" s="207" t="s">
        <v>1666</v>
      </c>
      <c r="G446" s="207" t="s">
        <v>1666</v>
      </c>
      <c r="H446" s="174">
        <v>4.5007423561774999E-2</v>
      </c>
      <c r="I446" s="204">
        <v>4.3225109465438283E-2</v>
      </c>
      <c r="J446" s="204">
        <v>1.7205553626571119E-3</v>
      </c>
      <c r="K446" s="205">
        <v>6.1758733679591338E-5</v>
      </c>
      <c r="L446" s="174">
        <v>4.4026561579084536E-2</v>
      </c>
      <c r="M446" s="204">
        <v>4.2283090055816028E-2</v>
      </c>
      <c r="N446" s="204">
        <v>1.6830587185306556E-3</v>
      </c>
      <c r="O446" s="205">
        <v>6.0412804737840842E-5</v>
      </c>
      <c r="Q446" s="208"/>
      <c r="R446" s="182"/>
      <c r="S446" s="182"/>
      <c r="T446" s="165"/>
      <c r="U446" s="1442"/>
      <c r="V446" s="1422"/>
    </row>
    <row r="447" spans="1:22">
      <c r="A447" s="1949"/>
      <c r="B447" s="173" t="s">
        <v>1656</v>
      </c>
      <c r="C447" s="173" t="s">
        <v>1637</v>
      </c>
      <c r="D447" s="206" t="s">
        <v>1666</v>
      </c>
      <c r="E447" s="206" t="s">
        <v>1666</v>
      </c>
      <c r="F447" s="207" t="s">
        <v>1666</v>
      </c>
      <c r="G447" s="207" t="s">
        <v>1666</v>
      </c>
      <c r="H447" s="174">
        <v>5.1563848495327844E-2</v>
      </c>
      <c r="I447" s="204">
        <v>4.9521897040176191E-2</v>
      </c>
      <c r="J447" s="204">
        <v>1.971196061158767E-3</v>
      </c>
      <c r="K447" s="205">
        <v>7.0755393992878398E-5</v>
      </c>
      <c r="L447" s="174">
        <v>5.044010012964837E-2</v>
      </c>
      <c r="M447" s="204">
        <v>4.8442649612217288E-2</v>
      </c>
      <c r="N447" s="204">
        <v>1.9282371196367493E-3</v>
      </c>
      <c r="O447" s="205">
        <v>6.9213397794326453E-5</v>
      </c>
      <c r="Q447" s="208"/>
      <c r="R447" s="182"/>
      <c r="S447" s="182"/>
      <c r="T447" s="165"/>
      <c r="U447" s="1442"/>
      <c r="V447" s="1422"/>
    </row>
    <row r="448" spans="1:22">
      <c r="A448" s="1949"/>
      <c r="B448" s="173" t="s">
        <v>1657</v>
      </c>
      <c r="C448" s="173" t="s">
        <v>1637</v>
      </c>
      <c r="D448" s="206" t="s">
        <v>1666</v>
      </c>
      <c r="E448" s="206" t="s">
        <v>1666</v>
      </c>
      <c r="F448" s="207" t="s">
        <v>1666</v>
      </c>
      <c r="G448" s="207" t="s">
        <v>1666</v>
      </c>
      <c r="H448" s="174">
        <v>6.3044749798369645E-2</v>
      </c>
      <c r="I448" s="204">
        <v>6.0548149518386322E-2</v>
      </c>
      <c r="J448" s="204">
        <v>2.4100909087603601E-3</v>
      </c>
      <c r="K448" s="205">
        <v>8.6509371222946461E-5</v>
      </c>
      <c r="L448" s="174">
        <v>6.1670794272894548E-2</v>
      </c>
      <c r="M448" s="204">
        <v>5.9228603246029944E-2</v>
      </c>
      <c r="N448" s="204">
        <v>2.3575669835869078E-3</v>
      </c>
      <c r="O448" s="205">
        <v>8.4624043277680872E-5</v>
      </c>
      <c r="Q448" s="208"/>
      <c r="R448" s="182"/>
      <c r="S448" s="182"/>
      <c r="T448" s="165"/>
      <c r="U448" s="1442"/>
      <c r="V448" s="1422"/>
    </row>
    <row r="449" spans="1:22">
      <c r="A449" s="1949"/>
      <c r="B449" s="173" t="s">
        <v>1658</v>
      </c>
      <c r="C449" s="173" t="s">
        <v>1637</v>
      </c>
      <c r="D449" s="206" t="s">
        <v>1666</v>
      </c>
      <c r="E449" s="206" t="s">
        <v>1666</v>
      </c>
      <c r="F449" s="207" t="s">
        <v>1666</v>
      </c>
      <c r="G449" s="207" t="s">
        <v>1666</v>
      </c>
      <c r="H449" s="174">
        <v>7.4754696513806659E-2</v>
      </c>
      <c r="I449" s="204">
        <v>7.1794377108252233E-2</v>
      </c>
      <c r="J449" s="204">
        <v>2.8577417632915146E-3</v>
      </c>
      <c r="K449" s="205">
        <v>1.025776422629064E-4</v>
      </c>
      <c r="L449" s="174">
        <v>8.3095933972629613E-2</v>
      </c>
      <c r="M449" s="204">
        <v>7.9805297834251179E-2</v>
      </c>
      <c r="N449" s="204">
        <v>3.17661273401651E-3</v>
      </c>
      <c r="O449" s="205">
        <v>1.140234043619214E-4</v>
      </c>
      <c r="Q449" s="208"/>
      <c r="R449" s="182"/>
      <c r="S449" s="182"/>
      <c r="T449" s="165"/>
      <c r="U449" s="1442"/>
      <c r="V449" s="1422"/>
    </row>
    <row r="450" spans="1:22">
      <c r="A450" s="1954"/>
      <c r="B450" s="173" t="s">
        <v>1659</v>
      </c>
      <c r="C450" s="173" t="s">
        <v>1637</v>
      </c>
      <c r="D450" s="206" t="s">
        <v>1666</v>
      </c>
      <c r="E450" s="206" t="s">
        <v>1666</v>
      </c>
      <c r="F450" s="207" t="s">
        <v>1666</v>
      </c>
      <c r="G450" s="207" t="s">
        <v>1666</v>
      </c>
      <c r="H450" s="174">
        <v>8.4947217371326697E-2</v>
      </c>
      <c r="I450" s="204">
        <v>8.1583269582631651E-2</v>
      </c>
      <c r="J450" s="204">
        <v>3.2473840718837944E-3</v>
      </c>
      <c r="K450" s="205">
        <v>1.1656371681123664E-4</v>
      </c>
      <c r="L450" s="174">
        <v>8.3095933972629613E-2</v>
      </c>
      <c r="M450" s="204">
        <v>7.9805297834251179E-2</v>
      </c>
      <c r="N450" s="204">
        <v>3.17661273401651E-3</v>
      </c>
      <c r="O450" s="205">
        <v>1.140234043619214E-4</v>
      </c>
      <c r="Q450" s="208"/>
    </row>
    <row r="451" spans="1:22">
      <c r="A451" s="209"/>
    </row>
    <row r="452" spans="1:22">
      <c r="A452" s="197" t="s">
        <v>1649</v>
      </c>
      <c r="B452" s="198"/>
      <c r="C452" s="198"/>
      <c r="D452" s="198"/>
      <c r="E452" s="198"/>
      <c r="F452" s="198"/>
      <c r="G452" s="198"/>
    </row>
    <row r="453" spans="1:22" ht="24" customHeight="1">
      <c r="A453" s="1923"/>
      <c r="B453" s="1924"/>
      <c r="C453" s="1924"/>
      <c r="D453" s="1925" t="s">
        <v>1667</v>
      </c>
      <c r="E453" s="1925"/>
      <c r="F453" s="1925"/>
      <c r="G453" s="1925"/>
    </row>
    <row r="454" spans="1:22" ht="18">
      <c r="A454" s="1944" t="s">
        <v>1613</v>
      </c>
      <c r="B454" s="1945"/>
      <c r="C454" s="199" t="s">
        <v>1340</v>
      </c>
      <c r="D454" s="171" t="s">
        <v>1614</v>
      </c>
      <c r="E454" s="172" t="s">
        <v>1615</v>
      </c>
      <c r="F454" s="172" t="s">
        <v>1616</v>
      </c>
      <c r="G454" s="172" t="s">
        <v>1617</v>
      </c>
    </row>
    <row r="455" spans="1:22">
      <c r="A455" s="1941" t="s">
        <v>1668</v>
      </c>
      <c r="B455" s="1941"/>
      <c r="C455" s="200" t="s">
        <v>1637</v>
      </c>
      <c r="D455" s="201">
        <v>0.48012534078942309</v>
      </c>
      <c r="E455" s="181">
        <v>0.47197564185485669</v>
      </c>
      <c r="F455" s="181">
        <v>6.3078165128223221E-4</v>
      </c>
      <c r="G455" s="181">
        <v>7.5189172832842077E-3</v>
      </c>
      <c r="H455" s="196"/>
      <c r="I455" s="196"/>
      <c r="J455" s="196"/>
      <c r="K455" s="196"/>
      <c r="L455" s="196"/>
      <c r="M455" s="196"/>
      <c r="N455" s="196"/>
      <c r="O455" s="196"/>
      <c r="Q455" s="182"/>
    </row>
    <row r="456" spans="1:22">
      <c r="A456" s="1941" t="s">
        <v>1669</v>
      </c>
      <c r="B456" s="1941"/>
      <c r="C456" s="200" t="s">
        <v>1637</v>
      </c>
      <c r="D456" s="201">
        <v>0.38696669257655009</v>
      </c>
      <c r="E456" s="181">
        <v>0.38039827850988461</v>
      </c>
      <c r="F456" s="184">
        <v>5.0839118163045608E-4</v>
      </c>
      <c r="G456" s="181">
        <v>6.0600228850350357E-3</v>
      </c>
      <c r="H456" s="196"/>
      <c r="I456" s="196"/>
      <c r="J456" s="196"/>
      <c r="K456" s="196"/>
      <c r="L456" s="196"/>
      <c r="M456" s="196"/>
      <c r="N456" s="196"/>
      <c r="O456" s="196"/>
      <c r="Q456" s="182"/>
    </row>
    <row r="457" spans="1:22" ht="15" customHeight="1">
      <c r="A457" s="209"/>
    </row>
    <row r="458" spans="1:22" ht="15" customHeight="1">
      <c r="A458" s="209"/>
    </row>
    <row r="459" spans="1:22" ht="15" customHeight="1">
      <c r="A459" s="209"/>
    </row>
    <row r="461" spans="1:22">
      <c r="A461" s="197" t="s">
        <v>1670</v>
      </c>
      <c r="B461" s="198"/>
      <c r="C461" s="198"/>
      <c r="D461" s="1815" t="s">
        <v>1671</v>
      </c>
      <c r="E461" s="1816"/>
      <c r="F461" s="1816"/>
      <c r="G461" s="1817"/>
      <c r="H461" s="1815" t="s">
        <v>1672</v>
      </c>
      <c r="I461" s="1816"/>
      <c r="J461" s="1816"/>
      <c r="K461" s="1817"/>
      <c r="L461" s="198"/>
      <c r="M461" s="210"/>
    </row>
    <row r="462" spans="1:22" ht="18">
      <c r="A462" s="1810" t="s">
        <v>1613</v>
      </c>
      <c r="B462" s="1837"/>
      <c r="C462" s="170" t="s">
        <v>1340</v>
      </c>
      <c r="D462" s="171" t="s">
        <v>1614</v>
      </c>
      <c r="E462" s="172" t="s">
        <v>1615</v>
      </c>
      <c r="F462" s="172" t="s">
        <v>1616</v>
      </c>
      <c r="G462" s="172" t="s">
        <v>1617</v>
      </c>
      <c r="H462" s="171" t="s">
        <v>1614</v>
      </c>
      <c r="I462" s="172" t="s">
        <v>1615</v>
      </c>
      <c r="J462" s="172" t="s">
        <v>1616</v>
      </c>
      <c r="K462" s="172" t="s">
        <v>1617</v>
      </c>
      <c r="L462" s="170" t="s">
        <v>1618</v>
      </c>
      <c r="M462" s="604" t="s">
        <v>1619</v>
      </c>
      <c r="R462" s="182"/>
      <c r="S462" s="165"/>
      <c r="T462" s="165"/>
    </row>
    <row r="463" spans="1:22" ht="15" customHeight="1">
      <c r="A463" s="1833" t="s">
        <v>1673</v>
      </c>
      <c r="B463" s="173" t="s">
        <v>1056</v>
      </c>
      <c r="C463" s="173" t="s">
        <v>1674</v>
      </c>
      <c r="D463" s="174">
        <v>4.4936299999999996</v>
      </c>
      <c r="E463" s="175">
        <v>4.4694900000000004</v>
      </c>
      <c r="F463" s="176">
        <v>1.8799999999999999E-3</v>
      </c>
      <c r="G463" s="175">
        <v>2.2259999999999999E-2</v>
      </c>
      <c r="H463" s="174">
        <v>2.3765000000000001</v>
      </c>
      <c r="I463" s="175">
        <v>2.35236</v>
      </c>
      <c r="J463" s="176">
        <v>1.8799999999999999E-3</v>
      </c>
      <c r="K463" s="175">
        <v>2.2259999999999999E-2</v>
      </c>
      <c r="L463" s="578" t="s">
        <v>1675</v>
      </c>
      <c r="M463" s="1958" t="s">
        <v>1676</v>
      </c>
      <c r="Q463" s="182"/>
      <c r="R463" s="182"/>
      <c r="S463" s="165"/>
      <c r="T463" s="165"/>
    </row>
    <row r="464" spans="1:22" ht="15" customHeight="1">
      <c r="A464" s="1833"/>
      <c r="B464" s="173" t="s">
        <v>1677</v>
      </c>
      <c r="C464" s="173" t="s">
        <v>1674</v>
      </c>
      <c r="D464" s="174">
        <v>2.3022900000000002</v>
      </c>
      <c r="E464" s="175">
        <v>2.2907999999999999</v>
      </c>
      <c r="F464" s="176">
        <v>8.0000000000000007E-5</v>
      </c>
      <c r="G464" s="175">
        <v>1.141E-2</v>
      </c>
      <c r="H464" s="174">
        <v>1.2171700000000001</v>
      </c>
      <c r="I464" s="175">
        <v>1.2056800000000001</v>
      </c>
      <c r="J464" s="176">
        <v>8.0000000000000007E-5</v>
      </c>
      <c r="K464" s="175">
        <v>1.141E-2</v>
      </c>
      <c r="L464" s="578" t="s">
        <v>1675</v>
      </c>
      <c r="M464" s="1959"/>
      <c r="Q464" s="182"/>
      <c r="R464" s="182"/>
      <c r="S464" s="165"/>
      <c r="T464" s="165"/>
    </row>
    <row r="465" spans="1:23">
      <c r="A465" s="1833"/>
      <c r="B465" s="173" t="s">
        <v>1678</v>
      </c>
      <c r="C465" s="173" t="s">
        <v>1674</v>
      </c>
      <c r="D465" s="174">
        <v>1.0188999999999999</v>
      </c>
      <c r="E465" s="175">
        <v>1.0138100000000001</v>
      </c>
      <c r="F465" s="191">
        <v>4.0000000000000003E-5</v>
      </c>
      <c r="G465" s="175">
        <v>5.0499999999999998E-3</v>
      </c>
      <c r="H465" s="174">
        <v>0.53866999999999998</v>
      </c>
      <c r="I465" s="175">
        <v>0.53358000000000005</v>
      </c>
      <c r="J465" s="176">
        <v>4.0000000000000003E-5</v>
      </c>
      <c r="K465" s="175">
        <v>5.0499999999999998E-3</v>
      </c>
      <c r="L465" s="578" t="s">
        <v>1675</v>
      </c>
      <c r="M465" s="1960"/>
      <c r="Q465" s="182"/>
    </row>
    <row r="467" spans="1:23">
      <c r="A467" s="1981" t="s">
        <v>1679</v>
      </c>
      <c r="B467" s="1981"/>
      <c r="C467" s="1981"/>
      <c r="D467" s="1981"/>
      <c r="E467" s="1981"/>
      <c r="F467" s="1981"/>
      <c r="G467" s="1981"/>
      <c r="H467" s="1981"/>
      <c r="I467" s="1981"/>
      <c r="J467" s="1981"/>
      <c r="K467" s="1981"/>
    </row>
    <row r="468" spans="1:23" ht="18">
      <c r="A468" s="1810" t="s">
        <v>1613</v>
      </c>
      <c r="B468" s="1837"/>
      <c r="C468" s="170" t="s">
        <v>1340</v>
      </c>
      <c r="D468" s="171" t="s">
        <v>1614</v>
      </c>
      <c r="E468" s="172" t="s">
        <v>1615</v>
      </c>
      <c r="F468" s="172" t="s">
        <v>1616</v>
      </c>
      <c r="G468" s="172" t="s">
        <v>1617</v>
      </c>
      <c r="H468" s="170" t="s">
        <v>1618</v>
      </c>
      <c r="I468" s="1838" t="s">
        <v>1619</v>
      </c>
      <c r="J468" s="1839"/>
      <c r="K468" s="1839"/>
      <c r="L468" s="7"/>
      <c r="M468" s="7"/>
      <c r="N468" s="7"/>
      <c r="O468" s="7"/>
      <c r="P468" s="7"/>
      <c r="Q468" s="7"/>
      <c r="R468" s="1422"/>
      <c r="S468" s="7"/>
      <c r="T468" s="7"/>
    </row>
    <row r="469" spans="1:23" s="80" customFormat="1">
      <c r="A469" s="1840" t="s">
        <v>1680</v>
      </c>
      <c r="B469" s="173" t="s">
        <v>1681</v>
      </c>
      <c r="C469" s="173" t="s">
        <v>1621</v>
      </c>
      <c r="D469" s="174">
        <v>1.6E-2</v>
      </c>
      <c r="E469" s="175">
        <v>1.5842310306041413E-2</v>
      </c>
      <c r="F469" s="191">
        <v>3.579208358333696E-5</v>
      </c>
      <c r="G469" s="176">
        <v>1.2189761037525044E-4</v>
      </c>
      <c r="H469" s="577" t="s">
        <v>1682</v>
      </c>
      <c r="I469" s="1961" t="s">
        <v>1683</v>
      </c>
      <c r="J469" s="1962"/>
      <c r="K469" s="1963"/>
      <c r="L469" s="7"/>
      <c r="M469" s="7"/>
      <c r="N469" s="7"/>
      <c r="O469" s="7"/>
      <c r="P469" s="7"/>
      <c r="Q469" s="7"/>
      <c r="R469" s="1422"/>
      <c r="S469" s="7"/>
      <c r="T469" s="7"/>
      <c r="U469" s="1440"/>
      <c r="V469" s="7"/>
      <c r="W469" s="7"/>
    </row>
    <row r="470" spans="1:23">
      <c r="A470" s="1841"/>
      <c r="B470" s="235" t="s">
        <v>1684</v>
      </c>
      <c r="C470" s="235" t="s">
        <v>1621</v>
      </c>
      <c r="D470" s="174">
        <v>0.03</v>
      </c>
      <c r="E470" s="204">
        <v>2.9704331823827645E-2</v>
      </c>
      <c r="F470" s="1475">
        <v>6.7110156718756787E-5</v>
      </c>
      <c r="G470" s="205">
        <v>2.2855801945359454E-4</v>
      </c>
      <c r="H470" s="1476" t="s">
        <v>1682</v>
      </c>
      <c r="I470" s="1964"/>
      <c r="J470" s="1965"/>
      <c r="K470" s="1966"/>
      <c r="L470" s="7"/>
      <c r="M470" s="7"/>
      <c r="N470" s="7"/>
      <c r="O470" s="7"/>
      <c r="P470" s="7"/>
      <c r="Q470" s="7"/>
      <c r="R470" s="1422"/>
      <c r="S470" s="7"/>
      <c r="T470" s="7"/>
    </row>
    <row r="471" spans="1:23">
      <c r="A471" s="1841"/>
      <c r="B471" s="173" t="s">
        <v>1685</v>
      </c>
      <c r="C471" s="173" t="s">
        <v>1621</v>
      </c>
      <c r="D471" s="174">
        <v>4.5999999999999999E-2</v>
      </c>
      <c r="E471" s="175">
        <v>4.5546642129869058E-2</v>
      </c>
      <c r="F471" s="176">
        <v>1.0290224030209375E-4</v>
      </c>
      <c r="G471" s="176">
        <v>3.5045562982884501E-4</v>
      </c>
      <c r="H471" s="577" t="s">
        <v>1682</v>
      </c>
      <c r="I471" s="1967"/>
      <c r="J471" s="1968"/>
      <c r="K471" s="1969"/>
    </row>
    <row r="473" spans="1:23">
      <c r="A473" s="1834" t="s">
        <v>1686</v>
      </c>
      <c r="B473" s="1835"/>
      <c r="C473" s="1835"/>
      <c r="D473" s="1835"/>
      <c r="E473" s="1835"/>
      <c r="F473" s="1835"/>
      <c r="G473" s="1835"/>
      <c r="H473" s="1835"/>
      <c r="I473" s="1835"/>
      <c r="J473" s="1835"/>
      <c r="K473" s="1835"/>
      <c r="L473" s="1835"/>
      <c r="M473" s="1836"/>
    </row>
    <row r="474" spans="1:23" ht="15" customHeight="1">
      <c r="A474" s="1810" t="s">
        <v>1613</v>
      </c>
      <c r="B474" s="1837"/>
      <c r="C474" s="170" t="s">
        <v>1340</v>
      </c>
      <c r="D474" s="171" t="s">
        <v>1614</v>
      </c>
      <c r="E474" s="172" t="s">
        <v>1615</v>
      </c>
      <c r="F474" s="172" t="s">
        <v>1616</v>
      </c>
      <c r="G474" s="172" t="s">
        <v>1617</v>
      </c>
      <c r="H474" s="170" t="s">
        <v>1618</v>
      </c>
      <c r="I474" s="1838" t="s">
        <v>1619</v>
      </c>
      <c r="J474" s="1839"/>
      <c r="K474" s="1839"/>
      <c r="L474" s="1839"/>
      <c r="M474" s="1839"/>
      <c r="R474" s="165"/>
    </row>
    <row r="475" spans="1:23" ht="15" customHeight="1">
      <c r="A475" s="1833" t="s">
        <v>1687</v>
      </c>
      <c r="B475" s="173" t="s">
        <v>1688</v>
      </c>
      <c r="C475" s="173" t="s">
        <v>1621</v>
      </c>
      <c r="D475" s="174">
        <v>2.5400000000000002E-3</v>
      </c>
      <c r="E475" s="175">
        <v>2.5000000000000001E-3</v>
      </c>
      <c r="F475" s="211">
        <v>0</v>
      </c>
      <c r="G475" s="191">
        <v>3.0000000000000001E-5</v>
      </c>
      <c r="H475" s="578" t="s">
        <v>1682</v>
      </c>
      <c r="I475" s="1970" t="s">
        <v>1676</v>
      </c>
      <c r="J475" s="1971"/>
      <c r="K475" s="1971"/>
      <c r="L475" s="1971"/>
      <c r="M475" s="1972"/>
      <c r="Q475" s="182"/>
      <c r="R475" s="165"/>
    </row>
    <row r="476" spans="1:23" ht="15" customHeight="1">
      <c r="A476" s="1833"/>
      <c r="B476" s="173" t="s">
        <v>1689</v>
      </c>
      <c r="C476" s="173" t="s">
        <v>1621</v>
      </c>
      <c r="D476" s="174">
        <v>3.0400000000000002E-3</v>
      </c>
      <c r="E476" s="175">
        <v>3.0000000000000001E-3</v>
      </c>
      <c r="F476" s="211">
        <v>0</v>
      </c>
      <c r="G476" s="191">
        <v>4.0000000000000003E-5</v>
      </c>
      <c r="H476" s="578" t="s">
        <v>1682</v>
      </c>
      <c r="I476" s="1973"/>
      <c r="J476" s="1974"/>
      <c r="K476" s="1974"/>
      <c r="L476" s="1974"/>
      <c r="M476" s="1975"/>
      <c r="Q476" s="182"/>
      <c r="R476" s="165"/>
    </row>
    <row r="477" spans="1:23" ht="15" customHeight="1">
      <c r="A477" s="1833"/>
      <c r="B477" s="173" t="s">
        <v>1690</v>
      </c>
      <c r="C477" s="173" t="s">
        <v>1621</v>
      </c>
      <c r="D477" s="174">
        <v>4.1599999999999996E-3</v>
      </c>
      <c r="E477" s="175">
        <v>4.1000000000000003E-3</v>
      </c>
      <c r="F477" s="211">
        <v>0</v>
      </c>
      <c r="G477" s="191">
        <v>6.0000000000000002E-5</v>
      </c>
      <c r="H477" s="578" t="s">
        <v>1682</v>
      </c>
      <c r="I477" s="1973"/>
      <c r="J477" s="1974"/>
      <c r="K477" s="1974"/>
      <c r="L477" s="1974"/>
      <c r="M477" s="1975"/>
      <c r="Q477" s="182"/>
      <c r="R477" s="165"/>
    </row>
    <row r="478" spans="1:23" ht="15" customHeight="1">
      <c r="A478" s="1833"/>
      <c r="B478" s="173" t="s">
        <v>1691</v>
      </c>
      <c r="C478" s="173" t="s">
        <v>1621</v>
      </c>
      <c r="D478" s="174">
        <v>5.7800000000000004E-3</v>
      </c>
      <c r="E478" s="175">
        <v>5.7000000000000002E-3</v>
      </c>
      <c r="F478" s="211">
        <v>0</v>
      </c>
      <c r="G478" s="191">
        <v>8.0000000000000007E-5</v>
      </c>
      <c r="H478" s="578" t="s">
        <v>1682</v>
      </c>
      <c r="I478" s="1973"/>
      <c r="J478" s="1974"/>
      <c r="K478" s="1974"/>
      <c r="L478" s="1974"/>
      <c r="M478" s="1975"/>
      <c r="Q478" s="182"/>
      <c r="R478" s="165"/>
    </row>
    <row r="479" spans="1:23" ht="15" customHeight="1">
      <c r="A479" s="1833"/>
      <c r="B479" s="173" t="s">
        <v>1692</v>
      </c>
      <c r="C479" s="173" t="s">
        <v>1621</v>
      </c>
      <c r="D479" s="174">
        <v>8.0099999999999998E-3</v>
      </c>
      <c r="E479" s="175">
        <v>7.9000000000000008E-3</v>
      </c>
      <c r="F479" s="211">
        <v>0</v>
      </c>
      <c r="G479" s="191">
        <v>1.1E-4</v>
      </c>
      <c r="H479" s="578" t="s">
        <v>1682</v>
      </c>
      <c r="I479" s="1973"/>
      <c r="J479" s="1974"/>
      <c r="K479" s="1974"/>
      <c r="L479" s="1974"/>
      <c r="M479" s="1975"/>
      <c r="Q479" s="182"/>
      <c r="R479" s="165"/>
    </row>
    <row r="480" spans="1:23" ht="15" customHeight="1">
      <c r="A480" s="1833"/>
      <c r="B480" s="173" t="s">
        <v>1693</v>
      </c>
      <c r="C480" s="173" t="s">
        <v>1621</v>
      </c>
      <c r="D480" s="174">
        <v>2.9610000000000001E-2</v>
      </c>
      <c r="E480" s="175">
        <v>2.92E-2</v>
      </c>
      <c r="F480" s="211">
        <v>1.0000000000000001E-5</v>
      </c>
      <c r="G480" s="191">
        <v>4.0000000000000002E-4</v>
      </c>
      <c r="H480" s="578" t="s">
        <v>1682</v>
      </c>
      <c r="I480" s="1973"/>
      <c r="J480" s="1974"/>
      <c r="K480" s="1974"/>
      <c r="L480" s="1974"/>
      <c r="M480" s="1975"/>
      <c r="Q480" s="182"/>
      <c r="R480" s="165"/>
    </row>
    <row r="481" spans="1:23" ht="15" customHeight="1">
      <c r="A481" s="1833"/>
      <c r="B481" s="173" t="s">
        <v>1694</v>
      </c>
      <c r="C481" s="173" t="s">
        <v>1621</v>
      </c>
      <c r="D481" s="174">
        <v>3.5400000000000002E-3</v>
      </c>
      <c r="E481" s="175">
        <v>3.49E-3</v>
      </c>
      <c r="F481" s="211">
        <v>0</v>
      </c>
      <c r="G481" s="191">
        <v>5.0000000000000002E-5</v>
      </c>
      <c r="H481" s="578" t="s">
        <v>1682</v>
      </c>
      <c r="I481" s="1973"/>
      <c r="J481" s="1974"/>
      <c r="K481" s="1974"/>
      <c r="L481" s="1974"/>
      <c r="M481" s="1975"/>
      <c r="Q481" s="182"/>
      <c r="R481" s="165"/>
    </row>
    <row r="482" spans="1:23" ht="15" customHeight="1">
      <c r="A482" s="1833" t="s">
        <v>1695</v>
      </c>
      <c r="B482" s="173" t="s">
        <v>1696</v>
      </c>
      <c r="C482" s="173" t="s">
        <v>1621</v>
      </c>
      <c r="D482" s="174">
        <v>1.2070000000000001E-2</v>
      </c>
      <c r="E482" s="175">
        <v>1.1900000000000001E-2</v>
      </c>
      <c r="F482" s="211">
        <v>0</v>
      </c>
      <c r="G482" s="191">
        <v>1.6000000000000001E-4</v>
      </c>
      <c r="H482" s="578" t="s">
        <v>1682</v>
      </c>
      <c r="I482" s="1973"/>
      <c r="J482" s="1974"/>
      <c r="K482" s="1974"/>
      <c r="L482" s="1974"/>
      <c r="M482" s="1975"/>
      <c r="Q482" s="182"/>
      <c r="R482" s="165"/>
    </row>
    <row r="483" spans="1:23" ht="15" customHeight="1">
      <c r="A483" s="1833"/>
      <c r="B483" s="173" t="s">
        <v>1697</v>
      </c>
      <c r="C483" s="173" t="s">
        <v>1621</v>
      </c>
      <c r="D483" s="174">
        <v>1.602E-2</v>
      </c>
      <c r="E483" s="175">
        <v>1.5800000000000002E-2</v>
      </c>
      <c r="F483" s="211">
        <v>1.0000000000000001E-5</v>
      </c>
      <c r="G483" s="191">
        <v>2.2000000000000001E-4</v>
      </c>
      <c r="H483" s="578" t="s">
        <v>1682</v>
      </c>
      <c r="I483" s="1973"/>
      <c r="J483" s="1974"/>
      <c r="K483" s="1974"/>
      <c r="L483" s="1974"/>
      <c r="M483" s="1975"/>
      <c r="Q483" s="182"/>
      <c r="R483" s="165"/>
    </row>
    <row r="484" spans="1:23" ht="15" customHeight="1">
      <c r="A484" s="1833"/>
      <c r="B484" s="173" t="s">
        <v>1698</v>
      </c>
      <c r="C484" s="173" t="s">
        <v>1621</v>
      </c>
      <c r="D484" s="174">
        <v>1.409E-2</v>
      </c>
      <c r="E484" s="175">
        <v>1.3899999999999999E-2</v>
      </c>
      <c r="F484" s="211">
        <v>0</v>
      </c>
      <c r="G484" s="191">
        <v>1.9000000000000001E-4</v>
      </c>
      <c r="H484" s="578" t="s">
        <v>1682</v>
      </c>
      <c r="I484" s="1973"/>
      <c r="J484" s="1974"/>
      <c r="K484" s="1974"/>
      <c r="L484" s="1974"/>
      <c r="M484" s="1975"/>
      <c r="Q484" s="182"/>
      <c r="R484" s="165"/>
    </row>
    <row r="485" spans="1:23" ht="15" customHeight="1">
      <c r="A485" s="1833"/>
      <c r="B485" s="173" t="s">
        <v>1699</v>
      </c>
      <c r="C485" s="173" t="s">
        <v>1621</v>
      </c>
      <c r="D485" s="174">
        <v>1.115E-2</v>
      </c>
      <c r="E485" s="175">
        <v>1.0999999999999999E-2</v>
      </c>
      <c r="F485" s="211">
        <v>0</v>
      </c>
      <c r="G485" s="191">
        <v>1.4999999999999999E-4</v>
      </c>
      <c r="H485" s="578" t="s">
        <v>1682</v>
      </c>
      <c r="I485" s="1973"/>
      <c r="J485" s="1974"/>
      <c r="K485" s="1974"/>
      <c r="L485" s="1974"/>
      <c r="M485" s="1975"/>
      <c r="Q485" s="182"/>
      <c r="R485" s="165"/>
    </row>
    <row r="486" spans="1:23" ht="15" customHeight="1">
      <c r="A486" s="1833"/>
      <c r="B486" s="173" t="s">
        <v>1700</v>
      </c>
      <c r="C486" s="173" t="s">
        <v>1621</v>
      </c>
      <c r="D486" s="174">
        <v>1.7739999999999999E-2</v>
      </c>
      <c r="E486" s="175">
        <v>1.7500000000000002E-2</v>
      </c>
      <c r="F486" s="211">
        <v>1.0000000000000001E-5</v>
      </c>
      <c r="G486" s="191">
        <v>2.4000000000000001E-4</v>
      </c>
      <c r="H486" s="578" t="s">
        <v>1682</v>
      </c>
      <c r="I486" s="1973"/>
      <c r="J486" s="1974"/>
      <c r="K486" s="1974"/>
      <c r="L486" s="1974"/>
      <c r="M486" s="1975"/>
      <c r="Q486" s="182"/>
      <c r="R486" s="165"/>
    </row>
    <row r="487" spans="1:23" s="80" customFormat="1" ht="15" customHeight="1">
      <c r="A487" s="1833"/>
      <c r="B487" s="173" t="s">
        <v>1701</v>
      </c>
      <c r="C487" s="173" t="s">
        <v>1621</v>
      </c>
      <c r="D487" s="174">
        <v>2.0080000000000001E-2</v>
      </c>
      <c r="E487" s="175">
        <v>1.9800000000000002E-2</v>
      </c>
      <c r="F487" s="211">
        <v>1.0000000000000001E-5</v>
      </c>
      <c r="G487" s="191">
        <v>2.7E-4</v>
      </c>
      <c r="H487" s="578" t="s">
        <v>1682</v>
      </c>
      <c r="I487" s="1973"/>
      <c r="J487" s="1974"/>
      <c r="K487" s="1974"/>
      <c r="L487" s="1974"/>
      <c r="M487" s="1975"/>
      <c r="N487" s="7"/>
      <c r="O487" s="7"/>
      <c r="P487" s="7"/>
      <c r="Q487" s="1474"/>
      <c r="R487" s="1422"/>
      <c r="S487" s="7"/>
      <c r="T487" s="7"/>
      <c r="U487" s="1440"/>
      <c r="V487" s="7"/>
      <c r="W487" s="7"/>
    </row>
    <row r="488" spans="1:23" ht="15" customHeight="1">
      <c r="A488" s="1833"/>
      <c r="B488" s="235" t="s">
        <v>1694</v>
      </c>
      <c r="C488" s="235" t="s">
        <v>1621</v>
      </c>
      <c r="D488" s="174">
        <v>1.323E-2</v>
      </c>
      <c r="E488" s="204">
        <v>1.3050000000000001E-2</v>
      </c>
      <c r="F488" s="1477">
        <v>0</v>
      </c>
      <c r="G488" s="1475">
        <v>1.8000000000000001E-4</v>
      </c>
      <c r="H488" s="1478" t="s">
        <v>1682</v>
      </c>
      <c r="I488" s="1973"/>
      <c r="J488" s="1974"/>
      <c r="K488" s="1974"/>
      <c r="L488" s="1974"/>
      <c r="M488" s="1975"/>
      <c r="N488" s="7"/>
      <c r="O488" s="7"/>
      <c r="P488" s="7"/>
      <c r="Q488" s="1474"/>
      <c r="R488" s="1422"/>
      <c r="S488" s="7"/>
      <c r="T488" s="7"/>
    </row>
    <row r="489" spans="1:23" ht="15" customHeight="1">
      <c r="A489" s="1833" t="s">
        <v>1702</v>
      </c>
      <c r="B489" s="173" t="s">
        <v>1703</v>
      </c>
      <c r="C489" s="173" t="s">
        <v>1621</v>
      </c>
      <c r="D489" s="174">
        <v>1.2670000000000001E-2</v>
      </c>
      <c r="E489" s="175">
        <v>1.2500000000000001E-2</v>
      </c>
      <c r="F489" s="211">
        <v>0</v>
      </c>
      <c r="G489" s="191">
        <v>1.7000000000000001E-4</v>
      </c>
      <c r="H489" s="578" t="s">
        <v>1682</v>
      </c>
      <c r="I489" s="1973"/>
      <c r="J489" s="1974"/>
      <c r="K489" s="1974"/>
      <c r="L489" s="1974"/>
      <c r="M489" s="1975"/>
      <c r="Q489" s="182"/>
      <c r="R489" s="165"/>
    </row>
    <row r="490" spans="1:23" ht="15" customHeight="1">
      <c r="A490" s="1833"/>
      <c r="B490" s="173" t="s">
        <v>1704</v>
      </c>
      <c r="C490" s="173" t="s">
        <v>1621</v>
      </c>
      <c r="D490" s="174">
        <v>1.6830000000000001E-2</v>
      </c>
      <c r="E490" s="175">
        <v>1.66E-2</v>
      </c>
      <c r="F490" s="211">
        <v>1.0000000000000001E-5</v>
      </c>
      <c r="G490" s="191">
        <v>2.3000000000000001E-4</v>
      </c>
      <c r="H490" s="578" t="s">
        <v>1682</v>
      </c>
      <c r="I490" s="1973"/>
      <c r="J490" s="1974"/>
      <c r="K490" s="1974"/>
      <c r="L490" s="1974"/>
      <c r="M490" s="1975"/>
      <c r="Q490" s="182"/>
      <c r="R490" s="165"/>
    </row>
    <row r="491" spans="1:23" ht="15" customHeight="1">
      <c r="A491" s="1833"/>
      <c r="B491" s="173" t="s">
        <v>1705</v>
      </c>
      <c r="C491" s="173" t="s">
        <v>1621</v>
      </c>
      <c r="D491" s="174">
        <v>1.6830000000000001E-2</v>
      </c>
      <c r="E491" s="175">
        <v>1.66E-2</v>
      </c>
      <c r="F491" s="211">
        <v>1.0000000000000001E-5</v>
      </c>
      <c r="G491" s="191">
        <v>2.3000000000000001E-4</v>
      </c>
      <c r="H491" s="578" t="s">
        <v>1682</v>
      </c>
      <c r="I491" s="1973"/>
      <c r="J491" s="1974"/>
      <c r="K491" s="1974"/>
      <c r="L491" s="1974"/>
      <c r="M491" s="1975"/>
      <c r="Q491" s="182"/>
      <c r="R491" s="165"/>
    </row>
    <row r="492" spans="1:23" ht="15" customHeight="1">
      <c r="A492" s="1833"/>
      <c r="B492" s="173" t="s">
        <v>1706</v>
      </c>
      <c r="C492" s="173" t="s">
        <v>1621</v>
      </c>
      <c r="D492" s="174">
        <v>2.0279999999999999E-2</v>
      </c>
      <c r="E492" s="175">
        <v>0.02</v>
      </c>
      <c r="F492" s="211">
        <v>1.0000000000000001E-5</v>
      </c>
      <c r="G492" s="191">
        <v>2.7E-4</v>
      </c>
      <c r="H492" s="578" t="s">
        <v>1682</v>
      </c>
      <c r="I492" s="1973"/>
      <c r="J492" s="1974"/>
      <c r="K492" s="1974"/>
      <c r="L492" s="1974"/>
      <c r="M492" s="1975"/>
      <c r="Q492" s="182"/>
      <c r="R492" s="165"/>
    </row>
    <row r="493" spans="1:23" ht="15" customHeight="1">
      <c r="A493" s="1833"/>
      <c r="B493" s="173" t="s">
        <v>1707</v>
      </c>
      <c r="C493" s="173" t="s">
        <v>1621</v>
      </c>
      <c r="D493" s="174">
        <v>3.2550000000000003E-2</v>
      </c>
      <c r="E493" s="175">
        <v>3.2099999999999997E-2</v>
      </c>
      <c r="F493" s="211">
        <v>1.0000000000000001E-5</v>
      </c>
      <c r="G493" s="191">
        <v>4.4000000000000002E-4</v>
      </c>
      <c r="H493" s="578" t="s">
        <v>1682</v>
      </c>
      <c r="I493" s="1973"/>
      <c r="J493" s="1974"/>
      <c r="K493" s="1974"/>
      <c r="L493" s="1974"/>
      <c r="M493" s="1975"/>
      <c r="Q493" s="182"/>
      <c r="R493" s="165"/>
    </row>
    <row r="494" spans="1:23" ht="15" customHeight="1">
      <c r="A494" s="1833"/>
      <c r="B494" s="173" t="s">
        <v>1708</v>
      </c>
      <c r="C494" s="173" t="s">
        <v>1621</v>
      </c>
      <c r="D494" s="174">
        <v>3.6810000000000002E-2</v>
      </c>
      <c r="E494" s="175">
        <v>3.6299999999999999E-2</v>
      </c>
      <c r="F494" s="211">
        <v>1.0000000000000001E-5</v>
      </c>
      <c r="G494" s="191">
        <v>4.8999999999999998E-4</v>
      </c>
      <c r="H494" s="578" t="s">
        <v>1682</v>
      </c>
      <c r="I494" s="1973"/>
      <c r="J494" s="1974"/>
      <c r="K494" s="1974"/>
      <c r="L494" s="1974"/>
      <c r="M494" s="1975"/>
      <c r="Q494" s="182"/>
      <c r="R494" s="165"/>
    </row>
    <row r="495" spans="1:23" ht="15" customHeight="1">
      <c r="A495" s="1833"/>
      <c r="B495" s="173" t="s">
        <v>1694</v>
      </c>
      <c r="C495" s="173" t="s">
        <v>1621</v>
      </c>
      <c r="D495" s="174">
        <v>1.6140000000000002E-2</v>
      </c>
      <c r="E495" s="175">
        <v>1.592E-2</v>
      </c>
      <c r="F495" s="211">
        <v>1.0000000000000001E-5</v>
      </c>
      <c r="G495" s="191">
        <v>2.2000000000000001E-4</v>
      </c>
      <c r="H495" s="578" t="s">
        <v>1682</v>
      </c>
      <c r="I495" s="1973"/>
      <c r="J495" s="1974"/>
      <c r="K495" s="1974"/>
      <c r="L495" s="1974"/>
      <c r="M495" s="1975"/>
      <c r="Q495" s="182"/>
      <c r="R495" s="165"/>
    </row>
    <row r="496" spans="1:23" ht="15" customHeight="1">
      <c r="A496" s="1833" t="s">
        <v>1709</v>
      </c>
      <c r="B496" s="173" t="s">
        <v>1710</v>
      </c>
      <c r="C496" s="173" t="s">
        <v>1621</v>
      </c>
      <c r="D496" s="174">
        <v>3.245E-2</v>
      </c>
      <c r="E496" s="175">
        <v>3.2000000000000001E-2</v>
      </c>
      <c r="F496" s="211">
        <v>1.0000000000000001E-5</v>
      </c>
      <c r="G496" s="191">
        <v>4.4000000000000002E-4</v>
      </c>
      <c r="H496" s="578" t="s">
        <v>1682</v>
      </c>
      <c r="I496" s="1973"/>
      <c r="J496" s="1974"/>
      <c r="K496" s="1974"/>
      <c r="L496" s="1974"/>
      <c r="M496" s="1975"/>
      <c r="Q496" s="182"/>
      <c r="R496" s="165"/>
    </row>
    <row r="497" spans="1:23" ht="15" customHeight="1">
      <c r="A497" s="1833"/>
      <c r="B497" s="173" t="s">
        <v>1711</v>
      </c>
      <c r="C497" s="173" t="s">
        <v>1621</v>
      </c>
      <c r="D497" s="174">
        <v>5.8400000000000001E-2</v>
      </c>
      <c r="E497" s="175">
        <v>5.7599999999999998E-2</v>
      </c>
      <c r="F497" s="211">
        <v>2.0000000000000002E-5</v>
      </c>
      <c r="G497" s="191">
        <v>7.7999999999999999E-4</v>
      </c>
      <c r="H497" s="578" t="s">
        <v>1682</v>
      </c>
      <c r="I497" s="1973"/>
      <c r="J497" s="1974"/>
      <c r="K497" s="1974"/>
      <c r="L497" s="1974"/>
      <c r="M497" s="1975"/>
      <c r="Q497" s="182"/>
      <c r="R497" s="165"/>
    </row>
    <row r="498" spans="1:23" ht="15" customHeight="1">
      <c r="A498" s="1833"/>
      <c r="B498" s="173" t="s">
        <v>1694</v>
      </c>
      <c r="C498" s="173" t="s">
        <v>1621</v>
      </c>
      <c r="D498" s="174">
        <v>3.8580000000000003E-2</v>
      </c>
      <c r="E498" s="175">
        <v>3.805E-2</v>
      </c>
      <c r="F498" s="211">
        <v>1.0000000000000001E-5</v>
      </c>
      <c r="G498" s="191">
        <v>5.1999999999999995E-4</v>
      </c>
      <c r="H498" s="578" t="s">
        <v>1682</v>
      </c>
      <c r="I498" s="1973"/>
      <c r="J498" s="1974"/>
      <c r="K498" s="1974"/>
      <c r="L498" s="1974"/>
      <c r="M498" s="1975"/>
      <c r="Q498" s="182"/>
      <c r="R498" s="165"/>
    </row>
    <row r="499" spans="1:23" ht="15" customHeight="1">
      <c r="A499" s="1805" t="s">
        <v>1712</v>
      </c>
      <c r="B499" s="173" t="s">
        <v>1713</v>
      </c>
      <c r="C499" s="173" t="s">
        <v>1621</v>
      </c>
      <c r="D499" s="174">
        <v>5.0189999999999999E-2</v>
      </c>
      <c r="E499" s="175">
        <v>4.9500000000000002E-2</v>
      </c>
      <c r="F499" s="211">
        <v>2.0000000000000002E-5</v>
      </c>
      <c r="G499" s="191">
        <v>6.7000000000000002E-4</v>
      </c>
      <c r="H499" s="578" t="s">
        <v>1682</v>
      </c>
      <c r="I499" s="1973"/>
      <c r="J499" s="1974"/>
      <c r="K499" s="1974"/>
      <c r="L499" s="1974"/>
      <c r="M499" s="1975"/>
      <c r="Q499" s="182"/>
      <c r="R499" s="165"/>
    </row>
    <row r="500" spans="1:23" ht="15" customHeight="1">
      <c r="A500" s="1806"/>
      <c r="B500" s="173" t="s">
        <v>1714</v>
      </c>
      <c r="C500" s="173" t="s">
        <v>1621</v>
      </c>
      <c r="D500" s="174">
        <v>6.114E-2</v>
      </c>
      <c r="E500" s="175">
        <v>6.0299999999999999E-2</v>
      </c>
      <c r="F500" s="211">
        <v>2.0000000000000002E-5</v>
      </c>
      <c r="G500" s="191">
        <v>8.1999999999999998E-4</v>
      </c>
      <c r="H500" s="578" t="s">
        <v>1682</v>
      </c>
      <c r="I500" s="1973"/>
      <c r="J500" s="1974"/>
      <c r="K500" s="1974"/>
      <c r="L500" s="1974"/>
      <c r="M500" s="1975"/>
      <c r="Q500" s="182"/>
      <c r="R500" s="165"/>
    </row>
    <row r="501" spans="1:23" ht="15" customHeight="1">
      <c r="A501" s="1806"/>
      <c r="B501" s="173" t="s">
        <v>1694</v>
      </c>
      <c r="C501" s="173" t="s">
        <v>1621</v>
      </c>
      <c r="D501" s="174">
        <v>5.1659999999999998E-2</v>
      </c>
      <c r="E501" s="175">
        <v>5.0950000000000002E-2</v>
      </c>
      <c r="F501" s="211">
        <v>2.0000000000000002E-5</v>
      </c>
      <c r="G501" s="191">
        <v>6.8999999999999997E-4</v>
      </c>
      <c r="H501" s="578" t="s">
        <v>1682</v>
      </c>
      <c r="I501" s="1973"/>
      <c r="J501" s="1974"/>
      <c r="K501" s="1974"/>
      <c r="L501" s="1974"/>
      <c r="M501" s="1975"/>
      <c r="Q501" s="182"/>
      <c r="R501" s="165"/>
    </row>
    <row r="502" spans="1:23">
      <c r="A502" s="1807"/>
      <c r="B502" s="173" t="s">
        <v>1715</v>
      </c>
      <c r="C502" s="173" t="s">
        <v>1621</v>
      </c>
      <c r="D502" s="174">
        <v>0.37667</v>
      </c>
      <c r="E502" s="175">
        <v>0.3715</v>
      </c>
      <c r="F502" s="211">
        <v>1.1E-4</v>
      </c>
      <c r="G502" s="191">
        <v>5.0600000000000003E-3</v>
      </c>
      <c r="H502" s="578"/>
      <c r="I502" s="1973"/>
      <c r="J502" s="1974"/>
      <c r="K502" s="1974"/>
      <c r="L502" s="1974"/>
      <c r="M502" s="1975"/>
      <c r="Q502" s="182"/>
      <c r="R502" s="165"/>
    </row>
    <row r="503" spans="1:23">
      <c r="A503" s="212" t="s">
        <v>1716</v>
      </c>
      <c r="B503" s="173" t="s">
        <v>1717</v>
      </c>
      <c r="C503" s="173" t="s">
        <v>1621</v>
      </c>
      <c r="D503" s="174">
        <v>1.308E-2</v>
      </c>
      <c r="E503" s="175">
        <v>1.29E-2</v>
      </c>
      <c r="F503" s="211">
        <v>0</v>
      </c>
      <c r="G503" s="191">
        <v>1.8000000000000001E-4</v>
      </c>
      <c r="H503" s="578" t="s">
        <v>1682</v>
      </c>
      <c r="I503" s="1976"/>
      <c r="J503" s="1977"/>
      <c r="K503" s="1977"/>
      <c r="L503" s="1977"/>
      <c r="M503" s="1978"/>
      <c r="Q503" s="182"/>
    </row>
    <row r="505" spans="1:23">
      <c r="A505" s="1834" t="s">
        <v>1718</v>
      </c>
      <c r="B505" s="1835"/>
      <c r="C505" s="1835"/>
      <c r="D505" s="1835"/>
      <c r="E505" s="1835"/>
      <c r="F505" s="1835"/>
      <c r="G505" s="1835"/>
      <c r="H505" s="1835"/>
      <c r="I505" s="1836"/>
    </row>
    <row r="506" spans="1:23" ht="18">
      <c r="A506" s="1810" t="s">
        <v>1613</v>
      </c>
      <c r="B506" s="1837"/>
      <c r="C506" s="170" t="s">
        <v>1340</v>
      </c>
      <c r="D506" s="171" t="s">
        <v>1614</v>
      </c>
      <c r="E506" s="172" t="s">
        <v>1615</v>
      </c>
      <c r="F506" s="172" t="s">
        <v>1616</v>
      </c>
      <c r="G506" s="172" t="s">
        <v>1617</v>
      </c>
      <c r="H506" s="170" t="s">
        <v>1618</v>
      </c>
      <c r="I506" s="604" t="s">
        <v>1619</v>
      </c>
    </row>
    <row r="507" spans="1:23">
      <c r="A507" s="212" t="s">
        <v>1719</v>
      </c>
      <c r="B507" s="173" t="s">
        <v>1720</v>
      </c>
      <c r="C507" s="173" t="s">
        <v>1621</v>
      </c>
      <c r="D507" s="174">
        <v>2.7E-2</v>
      </c>
      <c r="E507" s="175">
        <v>2.7E-2</v>
      </c>
      <c r="F507" s="191">
        <v>9.0000000000000006E-5</v>
      </c>
      <c r="G507" s="176">
        <v>6.9999999999999994E-5</v>
      </c>
      <c r="H507" s="578"/>
      <c r="I507" s="225"/>
    </row>
    <row r="508" spans="1:23">
      <c r="A508" s="213"/>
    </row>
    <row r="510" spans="1:23" ht="23.25">
      <c r="A510" s="1802" t="s">
        <v>109</v>
      </c>
      <c r="B510" s="1803"/>
      <c r="C510" s="1803"/>
      <c r="D510" s="1803"/>
      <c r="E510" s="1803"/>
      <c r="F510" s="1803"/>
      <c r="G510" s="1803"/>
      <c r="H510" s="1803"/>
      <c r="I510" s="1803"/>
      <c r="J510" s="1803"/>
      <c r="K510" s="1803"/>
      <c r="L510" s="1803"/>
      <c r="M510" s="1803"/>
      <c r="N510" s="1803"/>
      <c r="O510" s="1803"/>
      <c r="P510" s="1803"/>
      <c r="Q510" s="1804"/>
    </row>
    <row r="511" spans="1:23" s="6" customFormat="1">
      <c r="A511"/>
      <c r="B511"/>
      <c r="C511"/>
      <c r="D511"/>
      <c r="E511"/>
      <c r="F511"/>
      <c r="G511"/>
      <c r="H511"/>
      <c r="I511"/>
      <c r="J511"/>
      <c r="K511"/>
      <c r="L511"/>
      <c r="M511"/>
      <c r="N511"/>
      <c r="O511"/>
      <c r="P511"/>
      <c r="Q511"/>
      <c r="U511" s="1443"/>
      <c r="V511" s="1423"/>
      <c r="W511" s="1423"/>
    </row>
    <row r="512" spans="1:23">
      <c r="A512" s="6"/>
      <c r="B512" s="6"/>
      <c r="C512" s="6"/>
      <c r="D512" s="6"/>
      <c r="E512" s="6"/>
      <c r="F512" s="6"/>
      <c r="G512" s="6"/>
      <c r="H512" s="6"/>
      <c r="I512" s="6"/>
      <c r="J512" s="6"/>
      <c r="K512" s="6"/>
      <c r="L512" s="6"/>
      <c r="M512" s="6"/>
      <c r="N512" s="6"/>
      <c r="O512" s="6"/>
      <c r="P512" s="6"/>
      <c r="Q512" s="6"/>
    </row>
    <row r="538" spans="1:17">
      <c r="G538" s="1888" t="s">
        <v>1721</v>
      </c>
      <c r="H538" s="1889"/>
      <c r="I538" s="1889"/>
      <c r="J538" s="1889"/>
      <c r="K538" s="1890"/>
      <c r="L538" s="37" t="s">
        <v>1722</v>
      </c>
      <c r="M538" s="37">
        <v>2</v>
      </c>
    </row>
    <row r="539" spans="1:17">
      <c r="A539" t="s">
        <v>1723</v>
      </c>
      <c r="G539" s="1888" t="s">
        <v>1724</v>
      </c>
      <c r="H539" s="1889"/>
      <c r="I539" s="1889"/>
      <c r="J539" s="1889"/>
      <c r="K539" s="1890"/>
      <c r="L539" s="37" t="s">
        <v>1725</v>
      </c>
      <c r="M539" s="37">
        <v>1.3</v>
      </c>
    </row>
    <row r="540" spans="1:17">
      <c r="A540" s="10" t="s">
        <v>1726</v>
      </c>
      <c r="G540" s="1888" t="s">
        <v>1727</v>
      </c>
      <c r="H540" s="1889"/>
      <c r="I540" s="1889"/>
      <c r="J540" s="1889"/>
      <c r="K540" s="1890"/>
      <c r="L540" s="37" t="s">
        <v>1728</v>
      </c>
      <c r="M540" s="37">
        <v>4</v>
      </c>
    </row>
    <row r="541" spans="1:17">
      <c r="G541" s="1888" t="s">
        <v>1729</v>
      </c>
      <c r="H541" s="1889"/>
      <c r="I541" s="1889"/>
      <c r="J541" s="1889"/>
      <c r="K541" s="1890"/>
      <c r="L541" s="37" t="s">
        <v>1730</v>
      </c>
      <c r="M541" s="37">
        <f>M539+M538</f>
        <v>3.3</v>
      </c>
      <c r="N541" t="s">
        <v>1731</v>
      </c>
    </row>
    <row r="542" spans="1:17">
      <c r="G542" s="1888" t="s">
        <v>1732</v>
      </c>
      <c r="H542" s="1889"/>
      <c r="I542" s="1889"/>
      <c r="J542" s="1889"/>
      <c r="K542" s="1890"/>
      <c r="L542" s="37" t="s">
        <v>1733</v>
      </c>
      <c r="M542" s="37">
        <f>(M538+M539)-M540</f>
        <v>-0.70000000000000018</v>
      </c>
    </row>
    <row r="544" spans="1:17" ht="23.25">
      <c r="A544" s="1802" t="s">
        <v>94</v>
      </c>
      <c r="B544" s="1803"/>
      <c r="C544" s="1803"/>
      <c r="D544" s="1803"/>
      <c r="E544" s="1803"/>
      <c r="F544" s="1803"/>
      <c r="G544" s="1803"/>
      <c r="H544" s="1803"/>
      <c r="I544" s="1803"/>
      <c r="J544" s="1803"/>
      <c r="K544" s="1803"/>
      <c r="L544" s="1803"/>
      <c r="M544" s="1803"/>
      <c r="N544" s="1803"/>
      <c r="O544" s="1803"/>
      <c r="P544" s="1803"/>
      <c r="Q544" s="1804"/>
    </row>
    <row r="545" spans="1:1">
      <c r="A545" s="2" t="s">
        <v>1734</v>
      </c>
    </row>
    <row r="546" spans="1:1">
      <c r="A546" s="2" t="s">
        <v>1735</v>
      </c>
    </row>
    <row r="574" spans="1:3" ht="15.75">
      <c r="A574" s="24" t="s">
        <v>1736</v>
      </c>
      <c r="B574" s="22"/>
      <c r="C574" s="22"/>
    </row>
    <row r="585" spans="1:23" ht="15.75">
      <c r="A585" s="24" t="s">
        <v>1737</v>
      </c>
    </row>
    <row r="587" spans="1:23" s="22" customFormat="1" ht="16.5" thickBot="1">
      <c r="A587" s="91" t="s">
        <v>1738</v>
      </c>
      <c r="B587"/>
      <c r="C587"/>
      <c r="D587"/>
      <c r="E587"/>
      <c r="F587"/>
      <c r="G587"/>
      <c r="H587"/>
      <c r="I587"/>
      <c r="J587"/>
      <c r="K587"/>
      <c r="L587"/>
      <c r="M587"/>
      <c r="N587"/>
      <c r="O587"/>
      <c r="P587"/>
      <c r="Q587"/>
      <c r="U587" s="1441"/>
      <c r="V587" s="261"/>
      <c r="W587" s="261"/>
    </row>
    <row r="588" spans="1:23" s="22" customFormat="1" ht="31.5">
      <c r="A588" s="470" t="s">
        <v>923</v>
      </c>
      <c r="B588" s="432" t="s">
        <v>1739</v>
      </c>
      <c r="C588" s="471" t="s">
        <v>1740</v>
      </c>
      <c r="J588" s="264"/>
      <c r="U588" s="1441"/>
      <c r="V588" s="261"/>
      <c r="W588" s="261"/>
    </row>
    <row r="589" spans="1:23" s="22" customFormat="1" ht="26.25" customHeight="1">
      <c r="A589" s="434" t="s">
        <v>119</v>
      </c>
      <c r="B589" s="476" t="s">
        <v>1741</v>
      </c>
      <c r="C589" s="442">
        <v>1.0591999999999999</v>
      </c>
      <c r="D589" s="261"/>
      <c r="U589" s="1441" t="s">
        <v>1421</v>
      </c>
      <c r="V589" s="261"/>
      <c r="W589" s="261"/>
    </row>
    <row r="590" spans="1:23" s="22" customFormat="1" ht="26.25" customHeight="1">
      <c r="A590" s="434" t="s">
        <v>1742</v>
      </c>
      <c r="B590" s="476" t="s">
        <v>1743</v>
      </c>
      <c r="C590" s="442">
        <v>0.73209000000000002</v>
      </c>
      <c r="D590" s="1427"/>
      <c r="U590" s="1441" t="s">
        <v>1421</v>
      </c>
      <c r="V590" s="261"/>
      <c r="W590" s="261"/>
    </row>
    <row r="591" spans="1:23" ht="26.25" customHeight="1">
      <c r="A591" s="434" t="s">
        <v>121</v>
      </c>
      <c r="B591" s="476" t="s">
        <v>1744</v>
      </c>
      <c r="C591" s="442">
        <v>1.161</v>
      </c>
      <c r="D591" s="261"/>
      <c r="E591" s="22"/>
      <c r="F591" s="22"/>
      <c r="G591" s="22"/>
      <c r="H591" s="22"/>
      <c r="I591" s="22"/>
      <c r="J591" s="22"/>
      <c r="K591" s="264"/>
      <c r="L591" s="22"/>
      <c r="M591" s="22"/>
      <c r="N591" s="22"/>
      <c r="O591" s="22"/>
      <c r="P591" s="22"/>
      <c r="Q591" s="22"/>
      <c r="U591" s="1441" t="s">
        <v>1421</v>
      </c>
    </row>
    <row r="592" spans="1:23" ht="15.75">
      <c r="A592" s="22"/>
      <c r="B592" s="22"/>
      <c r="C592" s="22"/>
    </row>
    <row r="593" spans="1:11" ht="16.5" thickBot="1">
      <c r="A593" s="22"/>
      <c r="B593" s="22"/>
      <c r="C593" s="22"/>
    </row>
    <row r="594" spans="1:11" ht="41.25" customHeight="1">
      <c r="B594" s="619" t="s">
        <v>770</v>
      </c>
      <c r="C594" s="620" t="s">
        <v>1745</v>
      </c>
      <c r="E594" s="625" t="s">
        <v>1746</v>
      </c>
      <c r="F594" s="626" t="s">
        <v>1747</v>
      </c>
      <c r="G594" s="1469"/>
      <c r="H594" s="626" t="s">
        <v>1748</v>
      </c>
      <c r="I594" s="1434" t="s">
        <v>1749</v>
      </c>
      <c r="J594" s="1434" t="s">
        <v>1750</v>
      </c>
      <c r="K594" s="1434" t="s">
        <v>1751</v>
      </c>
    </row>
    <row r="595" spans="1:11" ht="16.5" thickBot="1">
      <c r="B595" s="621" t="s">
        <v>776</v>
      </c>
      <c r="C595" s="622">
        <v>4.2530000000000001</v>
      </c>
      <c r="D595" t="s">
        <v>1752</v>
      </c>
      <c r="E595" s="627">
        <f>0.24+0.05</f>
        <v>0.28999999999999998</v>
      </c>
      <c r="F595" s="628">
        <f>0.37+0.07+0.16</f>
        <v>0.6</v>
      </c>
      <c r="G595" s="7"/>
      <c r="H595" s="628">
        <v>0.42099999999999999</v>
      </c>
      <c r="I595" s="628">
        <v>0.34100000000000003</v>
      </c>
      <c r="J595" s="628">
        <v>0.13900000000000001</v>
      </c>
      <c r="K595" s="628">
        <v>0.32300000000000001</v>
      </c>
    </row>
    <row r="596" spans="1:11" ht="15.75">
      <c r="B596" s="621" t="s">
        <v>777</v>
      </c>
      <c r="C596" s="622">
        <v>4.8630000000000004</v>
      </c>
      <c r="H596" s="10" t="s">
        <v>1753</v>
      </c>
      <c r="I596" t="s">
        <v>1754</v>
      </c>
    </row>
    <row r="597" spans="1:11" ht="15.75">
      <c r="B597" s="621" t="s">
        <v>778</v>
      </c>
      <c r="C597" s="622">
        <v>2.4900000000000002</v>
      </c>
    </row>
    <row r="598" spans="1:11" ht="15.75">
      <c r="B598" s="621" t="s">
        <v>779</v>
      </c>
      <c r="C598" s="622">
        <v>4.2530000000000001</v>
      </c>
    </row>
    <row r="599" spans="1:11" ht="15.75">
      <c r="B599" s="621" t="s">
        <v>780</v>
      </c>
      <c r="C599" s="622">
        <v>4.2530000000000001</v>
      </c>
    </row>
    <row r="600" spans="1:11" ht="15.75">
      <c r="B600" s="621" t="s">
        <v>781</v>
      </c>
      <c r="C600" s="622">
        <v>1.792</v>
      </c>
    </row>
    <row r="601" spans="1:11" ht="15.75">
      <c r="B601" s="621" t="s">
        <v>782</v>
      </c>
      <c r="C601" s="622">
        <v>1.792</v>
      </c>
    </row>
    <row r="602" spans="1:11" ht="15.75">
      <c r="B602" s="426" t="s">
        <v>783</v>
      </c>
      <c r="C602" s="622">
        <v>1.792</v>
      </c>
    </row>
    <row r="603" spans="1:11" ht="15.75">
      <c r="B603" s="426" t="s">
        <v>784</v>
      </c>
      <c r="C603" s="622">
        <v>1.792</v>
      </c>
    </row>
    <row r="604" spans="1:11" ht="15.75">
      <c r="B604" s="621" t="s">
        <v>112</v>
      </c>
      <c r="C604" s="622">
        <v>1.792</v>
      </c>
    </row>
    <row r="605" spans="1:11" ht="15.75">
      <c r="B605" s="621" t="s">
        <v>113</v>
      </c>
      <c r="C605" s="622">
        <v>0.67934040699999998</v>
      </c>
    </row>
    <row r="606" spans="1:11" ht="15.75">
      <c r="B606" s="621" t="s">
        <v>114</v>
      </c>
      <c r="C606" s="622">
        <v>1.792</v>
      </c>
    </row>
    <row r="607" spans="1:11" ht="15.75">
      <c r="B607" s="621" t="s">
        <v>115</v>
      </c>
      <c r="C607" s="622">
        <v>10.632999999999999</v>
      </c>
    </row>
    <row r="608" spans="1:11" ht="15.75">
      <c r="B608" s="621" t="s">
        <v>116</v>
      </c>
      <c r="C608" s="622">
        <v>1.792</v>
      </c>
    </row>
    <row r="609" spans="1:23" ht="15.75">
      <c r="B609" s="621" t="s">
        <v>117</v>
      </c>
      <c r="C609" s="622">
        <v>1.792</v>
      </c>
    </row>
    <row r="610" spans="1:23" ht="15.75">
      <c r="B610" s="621" t="s">
        <v>118</v>
      </c>
      <c r="C610" s="622">
        <v>0.67934040699999998</v>
      </c>
    </row>
    <row r="611" spans="1:23" ht="15.75">
      <c r="B611" s="621" t="s">
        <v>119</v>
      </c>
      <c r="C611" s="622">
        <v>0.94266000000000005</v>
      </c>
    </row>
    <row r="612" spans="1:23" ht="15.75">
      <c r="B612" s="621" t="s">
        <v>785</v>
      </c>
      <c r="C612" s="622">
        <v>0.72389999999999999</v>
      </c>
    </row>
    <row r="613" spans="1:23" s="22" customFormat="1" ht="16.5" thickBot="1">
      <c r="A613"/>
      <c r="B613" s="623" t="s">
        <v>121</v>
      </c>
      <c r="C613" s="624">
        <v>1.161</v>
      </c>
      <c r="D613"/>
      <c r="E613"/>
      <c r="F613"/>
      <c r="G613"/>
      <c r="H613"/>
      <c r="I613"/>
      <c r="J613"/>
      <c r="K613"/>
      <c r="L613"/>
      <c r="M613"/>
      <c r="N613"/>
      <c r="O613"/>
      <c r="P613"/>
      <c r="Q613"/>
      <c r="U613" s="1441"/>
      <c r="V613" s="261"/>
      <c r="W613" s="261"/>
    </row>
    <row r="614" spans="1:23" s="22" customFormat="1" ht="15.75">
      <c r="A614" s="446" t="s">
        <v>1755</v>
      </c>
      <c r="D614" s="477"/>
      <c r="J614" s="264"/>
      <c r="U614" s="1441"/>
      <c r="V614" s="261"/>
      <c r="W614" s="261"/>
    </row>
    <row r="615" spans="1:23" s="22" customFormat="1" ht="15.75">
      <c r="J615" s="264"/>
      <c r="U615" s="1441"/>
      <c r="V615" s="261"/>
      <c r="W615" s="261"/>
    </row>
    <row r="616" spans="1:23" s="22" customFormat="1" ht="15.75">
      <c r="A616" s="22" t="s">
        <v>1756</v>
      </c>
      <c r="J616" s="264"/>
      <c r="U616" s="1441"/>
      <c r="V616" s="261"/>
      <c r="W616" s="261"/>
    </row>
    <row r="617" spans="1:23" s="22" customFormat="1" ht="15.75">
      <c r="A617" s="22" t="s">
        <v>1757</v>
      </c>
      <c r="J617" s="264"/>
      <c r="U617" s="1441"/>
      <c r="V617" s="261"/>
      <c r="W617" s="261"/>
    </row>
    <row r="618" spans="1:23" s="22" customFormat="1" ht="15.75">
      <c r="A618" s="22" t="s">
        <v>1758</v>
      </c>
      <c r="J618" s="264"/>
      <c r="U618" s="1441"/>
      <c r="V618" s="261"/>
      <c r="W618" s="261"/>
    </row>
    <row r="619" spans="1:23" s="22" customFormat="1" ht="15.75">
      <c r="A619" s="22" t="s">
        <v>1759</v>
      </c>
      <c r="J619" s="264"/>
      <c r="U619" s="1441"/>
      <c r="V619" s="261"/>
      <c r="W619" s="261"/>
    </row>
    <row r="620" spans="1:23" s="22" customFormat="1" ht="15.75">
      <c r="A620" s="22" t="s">
        <v>1760</v>
      </c>
      <c r="J620" s="264"/>
      <c r="U620" s="1441"/>
      <c r="V620" s="261"/>
      <c r="W620" s="261"/>
    </row>
    <row r="621" spans="1:23" s="22" customFormat="1" ht="15.75">
      <c r="J621" s="264"/>
      <c r="U621" s="1441"/>
      <c r="V621" s="261"/>
      <c r="W621" s="261"/>
    </row>
    <row r="622" spans="1:23" s="22" customFormat="1" ht="32.25" thickBot="1">
      <c r="E622" s="629" t="s">
        <v>770</v>
      </c>
      <c r="F622" s="629" t="s">
        <v>1761</v>
      </c>
      <c r="G622" s="629" t="s">
        <v>1762</v>
      </c>
      <c r="H622" s="256"/>
      <c r="J622" s="264"/>
      <c r="U622" s="1441"/>
      <c r="V622" s="261"/>
      <c r="W622" s="261"/>
    </row>
    <row r="623" spans="1:23" s="22" customFormat="1" ht="26.25">
      <c r="E623" s="630" t="s">
        <v>792</v>
      </c>
      <c r="F623" s="631" t="s">
        <v>1763</v>
      </c>
      <c r="G623" s="633">
        <v>1.0367999999999999</v>
      </c>
      <c r="H623" s="1426"/>
      <c r="J623" s="264"/>
      <c r="U623" s="1441"/>
      <c r="V623" s="261"/>
      <c r="W623" s="261"/>
    </row>
    <row r="624" spans="1:23" s="22" customFormat="1" ht="26.25">
      <c r="E624" s="631" t="s">
        <v>793</v>
      </c>
      <c r="F624" s="631" t="s">
        <v>1764</v>
      </c>
      <c r="G624" s="1480">
        <v>22.291</v>
      </c>
      <c r="H624" s="1426"/>
      <c r="J624" s="264"/>
      <c r="U624" s="1441"/>
      <c r="V624" s="261"/>
      <c r="W624" s="261"/>
    </row>
    <row r="625" spans="1:23" s="22" customFormat="1" ht="39.75" thickBot="1">
      <c r="E625" s="632" t="s">
        <v>791</v>
      </c>
      <c r="F625" s="632" t="s">
        <v>1765</v>
      </c>
      <c r="G625" s="1479">
        <v>3.1044999999999998</v>
      </c>
      <c r="H625" s="1426"/>
      <c r="J625" s="264"/>
      <c r="U625" s="1441"/>
      <c r="V625" s="261"/>
      <c r="W625" s="261"/>
    </row>
    <row r="626" spans="1:23" s="22" customFormat="1" ht="15.75">
      <c r="E626" s="256"/>
      <c r="F626" s="256"/>
      <c r="G626" s="256"/>
      <c r="H626" s="256"/>
      <c r="J626" s="264"/>
      <c r="U626" s="1441"/>
      <c r="V626" s="261"/>
      <c r="W626" s="261"/>
    </row>
    <row r="627" spans="1:23" s="22" customFormat="1" ht="15.75">
      <c r="E627" s="256"/>
      <c r="F627" s="256"/>
      <c r="G627" s="256"/>
      <c r="H627" s="256"/>
      <c r="J627" s="264"/>
      <c r="U627" s="1441"/>
      <c r="V627" s="261"/>
      <c r="W627" s="261"/>
    </row>
    <row r="628" spans="1:23" s="22" customFormat="1" ht="15.75">
      <c r="E628" s="256"/>
      <c r="F628" s="256"/>
      <c r="G628" s="256"/>
      <c r="H628" s="256"/>
      <c r="J628" s="264"/>
      <c r="U628" s="1441"/>
      <c r="V628" s="261"/>
      <c r="W628" s="261"/>
    </row>
    <row r="629" spans="1:23" s="22" customFormat="1" ht="15.75">
      <c r="E629" s="256"/>
      <c r="F629" s="256"/>
      <c r="G629" s="256"/>
      <c r="H629" s="256"/>
      <c r="J629" s="264"/>
      <c r="U629" s="1441"/>
      <c r="V629" s="261"/>
      <c r="W629" s="261"/>
    </row>
    <row r="630" spans="1:23" s="22" customFormat="1" ht="15.75">
      <c r="J630" s="264"/>
      <c r="U630" s="1441"/>
      <c r="V630" s="261"/>
      <c r="W630" s="261"/>
    </row>
    <row r="631" spans="1:23" ht="15.75">
      <c r="A631" s="22"/>
      <c r="B631" s="22"/>
      <c r="C631" s="22"/>
      <c r="D631" s="22"/>
      <c r="E631" s="22"/>
      <c r="F631" s="22"/>
      <c r="G631" s="22"/>
      <c r="H631" s="22"/>
      <c r="I631" s="22"/>
      <c r="J631" s="264"/>
      <c r="K631" s="22"/>
      <c r="L631" s="22"/>
      <c r="M631" s="22"/>
      <c r="N631" s="22"/>
      <c r="O631" s="22"/>
      <c r="P631" s="22"/>
      <c r="Q631" s="22"/>
    </row>
    <row r="632" spans="1:23">
      <c r="A632" s="6"/>
    </row>
    <row r="634" spans="1:23" ht="23.25">
      <c r="A634" s="1802" t="s">
        <v>1766</v>
      </c>
      <c r="B634" s="1803"/>
      <c r="C634" s="1803"/>
      <c r="D634" s="1803"/>
      <c r="E634" s="1803"/>
      <c r="F634" s="1803"/>
      <c r="G634" s="1803"/>
      <c r="H634" s="1803"/>
      <c r="I634" s="1803"/>
      <c r="J634" s="1803"/>
      <c r="K634" s="1803"/>
      <c r="L634" s="1803"/>
      <c r="M634" s="1803"/>
      <c r="N634" s="1803"/>
      <c r="O634" s="1803"/>
      <c r="P634" s="1803"/>
      <c r="Q634" s="1804"/>
    </row>
    <row r="636" spans="1:23">
      <c r="A636" s="6"/>
    </row>
    <row r="637" spans="1:23" ht="15.75" thickBot="1">
      <c r="A637" s="589" t="s">
        <v>1767</v>
      </c>
    </row>
    <row r="638" spans="1:23" ht="75.75" thickBot="1">
      <c r="A638" s="597" t="s">
        <v>1768</v>
      </c>
      <c r="B638" s="598" t="s">
        <v>1769</v>
      </c>
      <c r="C638" s="598" t="s">
        <v>1770</v>
      </c>
      <c r="D638" s="598" t="s">
        <v>967</v>
      </c>
      <c r="F638" s="93" t="s">
        <v>1771</v>
      </c>
      <c r="G638" s="89" t="s">
        <v>1772</v>
      </c>
      <c r="H638" s="7"/>
      <c r="I638" s="7"/>
      <c r="J638" s="7"/>
      <c r="K638" s="7"/>
      <c r="L638" s="7"/>
    </row>
    <row r="639" spans="1:23" ht="15.75" thickBot="1">
      <c r="A639" s="590" t="s">
        <v>1773</v>
      </c>
      <c r="B639" s="1487">
        <v>0.47642000000000001</v>
      </c>
      <c r="C639" s="591">
        <v>0.36</v>
      </c>
      <c r="D639" s="591" t="s">
        <v>1774</v>
      </c>
      <c r="F639" s="271">
        <v>0.05</v>
      </c>
      <c r="G639" s="272">
        <v>0.02</v>
      </c>
      <c r="H639" s="1452"/>
      <c r="I639" s="1319"/>
      <c r="J639" s="1319"/>
      <c r="K639" s="7"/>
      <c r="L639" s="7"/>
    </row>
    <row r="640" spans="1:23" ht="15.75" thickBot="1">
      <c r="A640" s="590" t="s">
        <v>1775</v>
      </c>
      <c r="B640" s="1487">
        <v>0.54534000000000005</v>
      </c>
      <c r="C640" s="591">
        <v>0.36</v>
      </c>
      <c r="D640" s="591" t="s">
        <v>1774</v>
      </c>
      <c r="F640" s="1485"/>
      <c r="G640" s="1486"/>
      <c r="H640" s="1452"/>
      <c r="I640" s="1319"/>
      <c r="J640" s="1319"/>
      <c r="K640" s="7"/>
      <c r="L640" s="7"/>
    </row>
    <row r="641" spans="1:21" ht="15.75" thickBot="1">
      <c r="A641" s="590" t="s">
        <v>1776</v>
      </c>
      <c r="B641" s="591">
        <v>1.3</v>
      </c>
      <c r="C641" s="591">
        <v>0.33</v>
      </c>
      <c r="D641" s="591" t="s">
        <v>1774</v>
      </c>
      <c r="H641" s="1321"/>
      <c r="I641" s="1322"/>
      <c r="J641" s="1322"/>
      <c r="K641" s="7"/>
      <c r="L641" s="7"/>
    </row>
    <row r="642" spans="1:21" ht="16.5" thickBot="1">
      <c r="A642" s="590" t="s">
        <v>1777</v>
      </c>
      <c r="B642" s="591">
        <v>0.2</v>
      </c>
      <c r="C642" s="591">
        <v>0.39</v>
      </c>
      <c r="D642" s="591" t="s">
        <v>1774</v>
      </c>
      <c r="H642" s="1489"/>
      <c r="I642" s="1322"/>
      <c r="J642" s="1322"/>
      <c r="K642" s="7"/>
      <c r="L642" s="7"/>
    </row>
    <row r="643" spans="1:21" ht="15.75" thickBot="1">
      <c r="D643" s="591"/>
      <c r="H643" s="1321"/>
      <c r="I643" s="1322"/>
      <c r="J643" s="1322"/>
      <c r="K643" s="7"/>
      <c r="L643" s="7"/>
    </row>
    <row r="644" spans="1:21" ht="16.5" thickBot="1">
      <c r="A644" s="589" t="s">
        <v>1778</v>
      </c>
      <c r="H644" s="1489"/>
      <c r="I644" s="1322"/>
      <c r="J644" s="1322"/>
      <c r="K644" s="7"/>
      <c r="L644" s="1428"/>
    </row>
    <row r="645" spans="1:21" ht="48.75" customHeight="1" thickBot="1">
      <c r="A645" s="597" t="s">
        <v>1779</v>
      </c>
      <c r="B645" s="598" t="s">
        <v>1769</v>
      </c>
      <c r="C645" s="598" t="s">
        <v>1770</v>
      </c>
      <c r="D645" s="598" t="s">
        <v>967</v>
      </c>
      <c r="H645" s="1489"/>
      <c r="I645" s="1322"/>
      <c r="J645" s="1322"/>
      <c r="K645" s="7"/>
      <c r="L645" s="1428"/>
    </row>
    <row r="646" spans="1:21" ht="33" customHeight="1" thickBot="1">
      <c r="A646" s="590" t="s">
        <v>1780</v>
      </c>
      <c r="B646" s="591">
        <v>3.6</v>
      </c>
      <c r="C646" s="591">
        <v>0.5</v>
      </c>
      <c r="D646" s="591" t="s">
        <v>1781</v>
      </c>
      <c r="H646" s="1489"/>
      <c r="I646" s="1322"/>
      <c r="J646" s="1322"/>
      <c r="K646" s="7"/>
      <c r="L646" s="1428"/>
      <c r="U646" s="1440" t="s">
        <v>1782</v>
      </c>
    </row>
    <row r="647" spans="1:21" ht="33" customHeight="1" thickBot="1">
      <c r="A647" s="590" t="s">
        <v>1783</v>
      </c>
      <c r="B647" s="1488">
        <v>1.3163</v>
      </c>
      <c r="C647" s="591">
        <v>0.09</v>
      </c>
      <c r="D647" s="591" t="s">
        <v>1784</v>
      </c>
      <c r="H647" s="1321"/>
      <c r="I647" s="1322"/>
      <c r="J647" s="1322"/>
      <c r="K647" s="7"/>
      <c r="L647" s="7"/>
      <c r="U647" s="1440" t="s">
        <v>1785</v>
      </c>
    </row>
    <row r="648" spans="1:21" ht="33" customHeight="1" thickBot="1">
      <c r="A648" s="590" t="s">
        <v>1786</v>
      </c>
      <c r="B648" s="591">
        <v>0.26</v>
      </c>
      <c r="C648" s="591">
        <v>0.24</v>
      </c>
      <c r="D648" s="591" t="s">
        <v>1781</v>
      </c>
      <c r="H648" s="1321"/>
      <c r="I648" s="1322"/>
      <c r="J648" s="1322"/>
      <c r="K648" s="7"/>
      <c r="L648" s="1428"/>
      <c r="U648" s="1440" t="s">
        <v>1782</v>
      </c>
    </row>
    <row r="649" spans="1:21" ht="33" customHeight="1" thickBot="1">
      <c r="A649" s="590" t="s">
        <v>884</v>
      </c>
      <c r="B649" s="591">
        <v>0.7</v>
      </c>
      <c r="C649" s="591">
        <v>0.15</v>
      </c>
      <c r="D649" s="591"/>
      <c r="H649" s="1321"/>
      <c r="I649" s="1322"/>
      <c r="J649" s="1322"/>
      <c r="K649" s="1490"/>
      <c r="L649" s="1428"/>
    </row>
    <row r="650" spans="1:21" ht="33" customHeight="1" thickBot="1">
      <c r="A650" s="590" t="s">
        <v>1787</v>
      </c>
      <c r="B650" s="591">
        <v>0.98497000000000001</v>
      </c>
      <c r="C650" s="591">
        <v>0.14000000000000001</v>
      </c>
      <c r="D650" s="591" t="s">
        <v>1788</v>
      </c>
      <c r="H650" s="1489"/>
      <c r="I650" s="1322"/>
      <c r="J650" s="1490"/>
      <c r="K650" s="7"/>
      <c r="L650" s="1428"/>
      <c r="U650" s="1440" t="s">
        <v>1785</v>
      </c>
    </row>
    <row r="651" spans="1:21" ht="33" customHeight="1" thickBot="1">
      <c r="A651" s="590" t="s">
        <v>1789</v>
      </c>
      <c r="B651" s="591">
        <v>0.4</v>
      </c>
      <c r="C651" s="591">
        <v>0.72</v>
      </c>
      <c r="D651" s="591"/>
      <c r="H651" s="1489"/>
      <c r="I651" s="1322"/>
      <c r="J651" s="1491"/>
      <c r="K651" s="7"/>
      <c r="L651" s="7"/>
    </row>
    <row r="652" spans="1:21" ht="33" customHeight="1" thickBot="1">
      <c r="A652" s="590" t="s">
        <v>1790</v>
      </c>
      <c r="B652" s="591">
        <v>2</v>
      </c>
      <c r="C652" s="591">
        <v>0.39</v>
      </c>
      <c r="D652" s="591"/>
      <c r="H652" s="1266"/>
      <c r="I652" s="1288"/>
      <c r="J652" s="1244"/>
      <c r="L652" s="10"/>
    </row>
    <row r="653" spans="1:21" ht="33" customHeight="1" thickBot="1">
      <c r="A653" s="590" t="s">
        <v>1791</v>
      </c>
      <c r="B653" s="591">
        <v>3.16</v>
      </c>
      <c r="C653" s="591">
        <v>0.14000000000000001</v>
      </c>
      <c r="D653" s="591" t="s">
        <v>1788</v>
      </c>
    </row>
    <row r="654" spans="1:21" ht="33" customHeight="1" thickBot="1">
      <c r="A654" s="590" t="s">
        <v>1792</v>
      </c>
      <c r="B654" s="1487">
        <v>1.1469E-2</v>
      </c>
      <c r="C654" s="591">
        <v>0.42</v>
      </c>
      <c r="D654" s="591" t="s">
        <v>1788</v>
      </c>
      <c r="M654" s="10"/>
      <c r="U654" s="1440" t="s">
        <v>1785</v>
      </c>
    </row>
    <row r="655" spans="1:21" ht="30.75" thickBot="1">
      <c r="A655" s="590" t="s">
        <v>1793</v>
      </c>
      <c r="B655" s="1487">
        <v>2.8491</v>
      </c>
      <c r="C655" s="591">
        <v>0.87</v>
      </c>
      <c r="D655" s="591" t="s">
        <v>1788</v>
      </c>
      <c r="J655" s="1244"/>
      <c r="L655" s="10"/>
      <c r="U655" s="1440" t="s">
        <v>1785</v>
      </c>
    </row>
    <row r="656" spans="1:21" ht="15.75" thickBot="1">
      <c r="A656" s="630" t="s">
        <v>1794</v>
      </c>
      <c r="B656" s="591">
        <v>0.02</v>
      </c>
      <c r="C656" s="591">
        <v>7.9</v>
      </c>
      <c r="D656" s="591" t="s">
        <v>1781</v>
      </c>
      <c r="J656" s="1244"/>
      <c r="L656" s="10"/>
      <c r="U656" s="1440" t="s">
        <v>1782</v>
      </c>
    </row>
    <row r="657" spans="1:21" ht="15.75" thickBot="1">
      <c r="A657" s="631" t="s">
        <v>1795</v>
      </c>
      <c r="B657" s="591">
        <v>0.02</v>
      </c>
      <c r="C657" s="591">
        <v>1.175</v>
      </c>
      <c r="D657" s="591" t="s">
        <v>1781</v>
      </c>
      <c r="J657" s="1244"/>
      <c r="L657" s="10"/>
      <c r="U657" s="1440" t="s">
        <v>1782</v>
      </c>
    </row>
    <row r="658" spans="1:21" ht="15.75" thickBot="1">
      <c r="A658" s="632" t="s">
        <v>1796</v>
      </c>
      <c r="B658" s="1487">
        <v>0.28722999999999999</v>
      </c>
      <c r="C658" s="591">
        <v>1.175</v>
      </c>
      <c r="D658" s="591" t="s">
        <v>1788</v>
      </c>
      <c r="J658" s="1244"/>
      <c r="L658" s="10"/>
    </row>
    <row r="659" spans="1:21">
      <c r="A659" s="1481"/>
      <c r="B659" s="3"/>
      <c r="C659" s="1482"/>
      <c r="D659" s="1481"/>
      <c r="J659" s="1244"/>
      <c r="L659" s="10"/>
    </row>
    <row r="660" spans="1:21">
      <c r="A660" s="602"/>
      <c r="B660" s="3"/>
      <c r="C660" s="3"/>
      <c r="J660" s="1244"/>
      <c r="L660" s="10"/>
    </row>
    <row r="661" spans="1:21" ht="15.75" thickBot="1">
      <c r="A661" s="589" t="s">
        <v>1797</v>
      </c>
    </row>
    <row r="662" spans="1:21" ht="18.75" thickBot="1">
      <c r="A662" s="652" t="s">
        <v>1798</v>
      </c>
      <c r="B662" s="653" t="s">
        <v>1799</v>
      </c>
      <c r="C662" s="653" t="s">
        <v>967</v>
      </c>
      <c r="D662" s="1483"/>
      <c r="E662" s="1484"/>
    </row>
    <row r="663" spans="1:21" ht="15.75" thickBot="1">
      <c r="A663" s="590" t="s">
        <v>1800</v>
      </c>
      <c r="B663" s="1487">
        <v>6.2058000000000002E-2</v>
      </c>
      <c r="C663" s="1487" t="s">
        <v>1801</v>
      </c>
      <c r="D663" s="602"/>
      <c r="E663" s="3"/>
      <c r="M663" s="10"/>
    </row>
    <row r="664" spans="1:21" ht="15.75" thickBot="1">
      <c r="A664" s="590" t="s">
        <v>1802</v>
      </c>
      <c r="B664" s="1487">
        <v>0.11828</v>
      </c>
      <c r="C664" s="1487" t="s">
        <v>1801</v>
      </c>
      <c r="D664" s="602"/>
      <c r="E664" s="3"/>
    </row>
    <row r="665" spans="1:21">
      <c r="D665" s="602"/>
      <c r="E665" s="3"/>
    </row>
    <row r="666" spans="1:21">
      <c r="A666" s="6"/>
      <c r="D666" s="602"/>
      <c r="E666" s="3"/>
    </row>
    <row r="668" spans="1:21" ht="15.75" thickBot="1"/>
    <row r="669" spans="1:21" ht="15.75" thickBot="1">
      <c r="A669" s="59"/>
      <c r="B669" s="1930" t="s">
        <v>1803</v>
      </c>
      <c r="C669" s="1931"/>
      <c r="D669" s="1931"/>
      <c r="E669" s="1931"/>
      <c r="F669" s="1931"/>
      <c r="G669" s="1932"/>
    </row>
    <row r="670" spans="1:21" ht="51.75" thickBot="1">
      <c r="A670" s="60" t="s">
        <v>868</v>
      </c>
      <c r="B670" s="61" t="s">
        <v>1804</v>
      </c>
      <c r="C670" s="61" t="s">
        <v>1805</v>
      </c>
      <c r="D670" s="61" t="s">
        <v>1806</v>
      </c>
      <c r="E670" s="61" t="s">
        <v>1807</v>
      </c>
      <c r="F670" s="61" t="s">
        <v>1808</v>
      </c>
      <c r="G670" s="62" t="s">
        <v>1809</v>
      </c>
    </row>
    <row r="671" spans="1:21">
      <c r="A671" s="63" t="s">
        <v>1810</v>
      </c>
      <c r="B671" s="64">
        <v>0.09</v>
      </c>
      <c r="C671" s="65">
        <v>0.68</v>
      </c>
      <c r="D671" s="64">
        <v>0.11</v>
      </c>
      <c r="E671" s="66" t="s">
        <v>171</v>
      </c>
      <c r="F671" s="66" t="s">
        <v>171</v>
      </c>
      <c r="G671" s="67" t="s">
        <v>171</v>
      </c>
    </row>
    <row r="672" spans="1:21">
      <c r="A672" s="2" t="s">
        <v>1811</v>
      </c>
    </row>
    <row r="674" spans="1:28" ht="23.25">
      <c r="A674" s="1929" t="s">
        <v>1812</v>
      </c>
      <c r="B674" s="1873"/>
      <c r="C674" s="1873"/>
      <c r="D674" s="1873"/>
      <c r="E674" s="1873"/>
      <c r="F674" s="1873"/>
      <c r="G674" s="1873"/>
      <c r="H674" s="1873"/>
      <c r="I674" s="1873"/>
      <c r="J674" s="1873"/>
      <c r="K674" s="1873"/>
      <c r="L674" s="1873"/>
      <c r="M674" s="1873"/>
      <c r="N674" s="1873"/>
      <c r="O674" s="1873"/>
      <c r="P674" s="1873"/>
      <c r="Q674" s="1874"/>
      <c r="AB674">
        <v>2.8316999999999998E-2</v>
      </c>
    </row>
    <row r="675" spans="1:28">
      <c r="A675" s="10"/>
    </row>
    <row r="676" spans="1:28" ht="38.25" thickBot="1">
      <c r="A676" s="654" t="s">
        <v>1399</v>
      </c>
      <c r="B676" s="655" t="s">
        <v>2408</v>
      </c>
      <c r="C676" s="655" t="s">
        <v>2409</v>
      </c>
    </row>
    <row r="677" spans="1:28" ht="19.5" thickBot="1">
      <c r="A677" s="656" t="s">
        <v>1813</v>
      </c>
      <c r="B677" s="1538">
        <f>0.67*854.74</f>
        <v>572.67580000000009</v>
      </c>
      <c r="C677" s="1539">
        <f>0.34*854.74</f>
        <v>290.61160000000001</v>
      </c>
    </row>
    <row r="678" spans="1:28" ht="20.25" thickTop="1" thickBot="1">
      <c r="A678" s="656" t="s">
        <v>1077</v>
      </c>
      <c r="B678" s="1538">
        <f>0.67*854.74</f>
        <v>572.67580000000009</v>
      </c>
      <c r="C678" s="1539">
        <f>0.34*854.74</f>
        <v>290.61160000000001</v>
      </c>
    </row>
    <row r="679" spans="1:28" ht="20.25" thickTop="1" thickBot="1">
      <c r="A679" s="659" t="s">
        <v>1083</v>
      </c>
      <c r="B679" s="1538">
        <f>B687*0.1666</f>
        <v>3.0471139999999997</v>
      </c>
      <c r="C679" s="1538">
        <f>B687*0.1666</f>
        <v>3.0471139999999997</v>
      </c>
    </row>
    <row r="680" spans="1:28" ht="15.75" thickTop="1">
      <c r="A680" s="6" t="s">
        <v>2410</v>
      </c>
    </row>
    <row r="681" spans="1:28" s="6" customFormat="1">
      <c r="A681" s="6" t="s">
        <v>2411</v>
      </c>
      <c r="B681"/>
      <c r="C681"/>
      <c r="D681"/>
      <c r="E681"/>
      <c r="F681" s="10"/>
      <c r="G681"/>
      <c r="H681"/>
      <c r="I681"/>
      <c r="J681"/>
      <c r="K681"/>
      <c r="L681"/>
      <c r="M681"/>
      <c r="N681"/>
      <c r="O681"/>
      <c r="P681"/>
      <c r="Q681"/>
      <c r="U681" s="1443"/>
      <c r="V681" s="1423"/>
      <c r="W681" s="1423"/>
    </row>
    <row r="682" spans="1:28" ht="15.75" thickBot="1">
      <c r="A682" s="6"/>
      <c r="B682" s="6"/>
      <c r="C682" s="6"/>
      <c r="D682" s="6"/>
      <c r="E682" s="6"/>
      <c r="F682" s="6"/>
      <c r="G682" s="6"/>
      <c r="H682" s="6"/>
      <c r="I682" s="6"/>
      <c r="J682" s="6"/>
      <c r="K682" s="6"/>
      <c r="L682" s="6"/>
      <c r="M682" s="6"/>
      <c r="N682" s="6"/>
      <c r="O682" s="6"/>
      <c r="P682" s="6"/>
      <c r="Q682" s="6"/>
    </row>
    <row r="683" spans="1:28" ht="15.75" thickBot="1">
      <c r="A683" s="579" t="s">
        <v>1396</v>
      </c>
      <c r="B683" s="580" t="s">
        <v>1814</v>
      </c>
      <c r="C683" s="580" t="s">
        <v>1815</v>
      </c>
      <c r="D683" s="610" t="s">
        <v>1399</v>
      </c>
      <c r="E683" s="611" t="s">
        <v>1400</v>
      </c>
      <c r="F683" s="610" t="s">
        <v>1401</v>
      </c>
    </row>
    <row r="684" spans="1:28">
      <c r="A684" s="582" t="s">
        <v>72</v>
      </c>
      <c r="B684" s="583">
        <v>934.79</v>
      </c>
      <c r="C684" s="583">
        <v>1.0960000000000001</v>
      </c>
      <c r="D684" s="612" t="s">
        <v>1402</v>
      </c>
      <c r="E684" s="583">
        <f t="shared" ref="E684:F686" si="10">E86</f>
        <v>22.5</v>
      </c>
      <c r="F684" s="583">
        <f t="shared" si="10"/>
        <v>9.5657399999999999</v>
      </c>
    </row>
    <row r="685" spans="1:28">
      <c r="A685" s="585" t="s">
        <v>70</v>
      </c>
      <c r="B685" s="583">
        <v>983.56</v>
      </c>
      <c r="C685" s="583">
        <v>1.153</v>
      </c>
      <c r="D685" s="612" t="s">
        <v>1403</v>
      </c>
      <c r="E685" s="583">
        <f t="shared" si="10"/>
        <v>16.2</v>
      </c>
      <c r="F685" s="583">
        <f t="shared" si="10"/>
        <v>6.8873328000000003</v>
      </c>
    </row>
    <row r="686" spans="1:28">
      <c r="A686" s="605" t="s">
        <v>1343</v>
      </c>
      <c r="B686" s="583">
        <v>402.32</v>
      </c>
      <c r="C686" s="583">
        <v>0.47199999999999998</v>
      </c>
      <c r="D686" s="612" t="s">
        <v>1404</v>
      </c>
      <c r="E686" s="583">
        <f t="shared" si="10"/>
        <v>8.8000000000000007</v>
      </c>
      <c r="F686" s="583">
        <f t="shared" si="10"/>
        <v>3.7412672000000007</v>
      </c>
    </row>
    <row r="687" spans="1:28">
      <c r="A687" s="605" t="s">
        <v>2407</v>
      </c>
      <c r="B687" s="605">
        <v>18.29</v>
      </c>
    </row>
    <row r="688" spans="1:28">
      <c r="A688" t="s">
        <v>1405</v>
      </c>
      <c r="B688" s="609"/>
      <c r="D688" s="167" t="s">
        <v>1406</v>
      </c>
    </row>
    <row r="689" spans="1:23" s="6" customFormat="1">
      <c r="A689" s="10" t="s">
        <v>1816</v>
      </c>
      <c r="B689" s="609"/>
      <c r="C689"/>
      <c r="D689"/>
      <c r="E689"/>
      <c r="F689"/>
      <c r="G689"/>
      <c r="H689"/>
      <c r="I689"/>
      <c r="J689"/>
      <c r="K689"/>
      <c r="L689"/>
      <c r="M689"/>
      <c r="N689"/>
      <c r="O689"/>
      <c r="P689"/>
      <c r="Q689"/>
      <c r="U689" s="1443"/>
      <c r="V689" s="1423"/>
      <c r="W689" s="1423"/>
    </row>
    <row r="690" spans="1:23">
      <c r="A690" s="6"/>
      <c r="B690" s="6"/>
      <c r="C690" s="6"/>
      <c r="D690" s="6"/>
      <c r="E690" s="6"/>
      <c r="F690" s="6"/>
      <c r="G690" s="6"/>
      <c r="H690" s="6"/>
      <c r="I690" s="6"/>
      <c r="J690" s="6"/>
      <c r="K690" s="6"/>
      <c r="L690" s="6"/>
      <c r="M690" s="6"/>
      <c r="N690" s="6"/>
      <c r="O690" s="6"/>
      <c r="P690" s="6"/>
      <c r="Q690" s="6"/>
    </row>
    <row r="691" spans="1:23" ht="15.75" thickBot="1">
      <c r="A691" s="276" t="s">
        <v>1817</v>
      </c>
    </row>
    <row r="692" spans="1:23" ht="27.75" thickBot="1">
      <c r="A692" s="1926" t="s">
        <v>1308</v>
      </c>
      <c r="B692" s="661" t="s">
        <v>1818</v>
      </c>
      <c r="C692" s="1850" t="s">
        <v>1819</v>
      </c>
      <c r="D692" s="1851"/>
      <c r="E692" s="1851"/>
      <c r="F692" s="1982" t="s">
        <v>1820</v>
      </c>
      <c r="H692" s="1291" t="s">
        <v>1821</v>
      </c>
      <c r="I692" s="1292" t="s">
        <v>1822</v>
      </c>
      <c r="J692" s="1293" t="s">
        <v>1340</v>
      </c>
      <c r="K692" s="1294"/>
      <c r="L692" s="1295"/>
      <c r="M692" s="1296"/>
      <c r="N692" s="1297"/>
      <c r="O692" s="1297"/>
      <c r="P692" s="1298"/>
    </row>
    <row r="693" spans="1:23" ht="15.75" customHeight="1">
      <c r="A693" s="1927"/>
      <c r="B693" s="662" t="s">
        <v>1823</v>
      </c>
      <c r="C693" s="1852" t="s">
        <v>1824</v>
      </c>
      <c r="D693" s="1853"/>
      <c r="E693" s="1853"/>
      <c r="F693" s="1983"/>
      <c r="H693" s="1518" t="s">
        <v>1825</v>
      </c>
      <c r="I693" s="1353">
        <f>8.31*0.26417</f>
        <v>2.1952527000000002</v>
      </c>
      <c r="J693" s="1519" t="s">
        <v>1826</v>
      </c>
      <c r="K693" s="1299"/>
      <c r="L693" s="1296"/>
      <c r="M693" s="1296"/>
      <c r="N693" s="1297"/>
      <c r="O693" s="1300"/>
      <c r="P693" s="1301"/>
    </row>
    <row r="694" spans="1:23" ht="15.75" thickBot="1">
      <c r="A694" s="1927"/>
      <c r="B694" s="663"/>
      <c r="C694" s="1854" t="s">
        <v>1827</v>
      </c>
      <c r="D694" s="1855"/>
      <c r="E694" s="1855"/>
      <c r="F694" s="1984"/>
      <c r="H694" s="1520" t="s">
        <v>1828</v>
      </c>
      <c r="I694" s="1354">
        <f>9.45*0.26417</f>
        <v>2.4964065</v>
      </c>
      <c r="J694" s="1521" t="s">
        <v>1829</v>
      </c>
      <c r="K694" s="1296"/>
      <c r="M694" s="1296"/>
      <c r="N694" s="1297"/>
      <c r="O694" s="1300"/>
      <c r="P694" s="1301"/>
    </row>
    <row r="695" spans="1:23" ht="26.25" thickBot="1">
      <c r="A695" s="1928"/>
      <c r="B695" s="664"/>
      <c r="C695" s="665" t="s">
        <v>1830</v>
      </c>
      <c r="D695" s="665" t="s">
        <v>1831</v>
      </c>
      <c r="E695" s="665" t="s">
        <v>1832</v>
      </c>
      <c r="F695" s="665" t="s">
        <v>1833</v>
      </c>
      <c r="H695" s="1520" t="s">
        <v>1834</v>
      </c>
      <c r="I695" s="588">
        <f>0.05444*0.028317</f>
        <v>1.54157748E-3</v>
      </c>
      <c r="J695" s="1521" t="s">
        <v>1835</v>
      </c>
      <c r="K695" s="1296"/>
      <c r="L695" s="1296"/>
      <c r="M695" s="1296"/>
      <c r="N695" s="1297"/>
      <c r="O695" s="1300"/>
      <c r="P695" s="1301"/>
    </row>
    <row r="696" spans="1:23" ht="23.25" thickBot="1">
      <c r="A696" s="280" t="s">
        <v>1836</v>
      </c>
      <c r="B696" s="281">
        <v>38.799999999999997</v>
      </c>
      <c r="C696" s="281">
        <v>13.9</v>
      </c>
      <c r="D696" s="281">
        <v>0</v>
      </c>
      <c r="E696" s="281">
        <v>0</v>
      </c>
      <c r="F696" s="281">
        <f>C696+D696+E696</f>
        <v>13.9</v>
      </c>
      <c r="H696" s="1520" t="s">
        <v>1837</v>
      </c>
      <c r="I696" s="1354">
        <f>10.21*0.26417</f>
        <v>2.6971757000000003</v>
      </c>
      <c r="J696" s="1521" t="s">
        <v>1826</v>
      </c>
      <c r="K696" s="1296"/>
      <c r="L696" s="1296"/>
      <c r="M696" s="1296"/>
      <c r="N696" s="1297"/>
      <c r="O696" s="1300"/>
      <c r="P696" s="1301"/>
      <c r="U696" s="1440" t="s">
        <v>1565</v>
      </c>
    </row>
    <row r="697" spans="1:23" ht="15.75" thickBot="1">
      <c r="A697" s="280" t="s">
        <v>1357</v>
      </c>
      <c r="B697" s="281">
        <v>38.799999999999997</v>
      </c>
      <c r="C697" s="281">
        <v>3.5</v>
      </c>
      <c r="D697" s="281">
        <v>0</v>
      </c>
      <c r="E697" s="281">
        <v>0</v>
      </c>
      <c r="F697" s="281">
        <f t="shared" ref="F697:F717" si="11">C697+D697+E697</f>
        <v>3.5</v>
      </c>
      <c r="H697" s="1520" t="s">
        <v>1838</v>
      </c>
      <c r="I697" s="1354">
        <f>5.75*0.26417</f>
        <v>1.5189775000000001</v>
      </c>
      <c r="J697" s="1521" t="s">
        <v>1826</v>
      </c>
      <c r="K697" s="1296"/>
      <c r="L697" s="1296"/>
      <c r="M697" s="1296"/>
      <c r="N697" s="1297"/>
      <c r="O697" s="1300"/>
      <c r="P697" s="1301"/>
      <c r="U697" s="1440" t="s">
        <v>1839</v>
      </c>
    </row>
    <row r="698" spans="1:23" ht="26.25" thickBot="1">
      <c r="A698" s="280" t="s">
        <v>1358</v>
      </c>
      <c r="B698" s="281" t="s">
        <v>1359</v>
      </c>
      <c r="C698" s="281">
        <v>73.3</v>
      </c>
      <c r="D698" s="281">
        <v>0.01</v>
      </c>
      <c r="E698" s="281">
        <v>5.9999999999999995E-4</v>
      </c>
      <c r="F698" s="281">
        <f t="shared" si="11"/>
        <v>73.310600000000008</v>
      </c>
      <c r="H698" s="1520" t="s">
        <v>1840</v>
      </c>
      <c r="I698" s="1354">
        <f>9.75*0.26417</f>
        <v>2.5756575000000002</v>
      </c>
      <c r="J698" s="1521" t="s">
        <v>1826</v>
      </c>
      <c r="K698" s="1296"/>
      <c r="L698" s="1296"/>
      <c r="M698" s="1296"/>
      <c r="N698" s="1297"/>
      <c r="O698" s="1300"/>
      <c r="P698" s="1301"/>
      <c r="U698" s="1440" t="s">
        <v>1841</v>
      </c>
    </row>
    <row r="699" spans="1:23" ht="26.25" thickBot="1">
      <c r="A699" s="280" t="s">
        <v>1842</v>
      </c>
      <c r="B699" s="281" t="s">
        <v>1363</v>
      </c>
      <c r="C699" s="281">
        <v>61</v>
      </c>
      <c r="D699" s="281">
        <v>0.08</v>
      </c>
      <c r="E699" s="281">
        <v>0.2</v>
      </c>
      <c r="F699" s="281">
        <f t="shared" si="11"/>
        <v>61.28</v>
      </c>
      <c r="H699" s="1520" t="s">
        <v>1843</v>
      </c>
      <c r="I699" s="1354">
        <f>4.5*0.26417</f>
        <v>1.1887650000000001</v>
      </c>
      <c r="J699" s="1521" t="s">
        <v>1826</v>
      </c>
      <c r="K699" s="1301"/>
      <c r="L699" s="1296"/>
      <c r="M699" s="1296"/>
      <c r="N699" s="1297"/>
      <c r="O699" s="1300"/>
      <c r="P699" s="1301"/>
      <c r="U699" s="1440" t="s">
        <v>1844</v>
      </c>
    </row>
    <row r="700" spans="1:23" ht="26.25" thickBot="1">
      <c r="A700" s="1516" t="s">
        <v>1845</v>
      </c>
      <c r="B700" s="1517">
        <v>34.200000000000003</v>
      </c>
      <c r="C700" s="1517">
        <v>67.400000000000006</v>
      </c>
      <c r="D700" s="1517">
        <v>0.2</v>
      </c>
      <c r="E700" s="1517">
        <v>0.2</v>
      </c>
      <c r="F700" s="281">
        <f t="shared" si="11"/>
        <v>67.800000000000011</v>
      </c>
      <c r="H700" s="1520" t="s">
        <v>1846</v>
      </c>
      <c r="I700" s="1354">
        <f>5.68*0.26417</f>
        <v>1.5004856</v>
      </c>
      <c r="J700" s="1521" t="s">
        <v>1826</v>
      </c>
      <c r="K700" s="1296"/>
      <c r="L700" s="1306"/>
      <c r="M700" s="1296"/>
      <c r="N700" s="1297"/>
      <c r="O700" s="1300"/>
      <c r="P700" s="1301"/>
      <c r="U700" s="1440" t="s">
        <v>1847</v>
      </c>
    </row>
    <row r="701" spans="1:23" ht="15.75" thickBot="1">
      <c r="A701" s="280" t="s">
        <v>1848</v>
      </c>
      <c r="B701" s="281">
        <v>33.1</v>
      </c>
      <c r="C701" s="281">
        <v>67</v>
      </c>
      <c r="D701" s="281">
        <v>0.2</v>
      </c>
      <c r="E701" s="281">
        <v>0.2</v>
      </c>
      <c r="F701" s="281">
        <f t="shared" si="11"/>
        <v>67.400000000000006</v>
      </c>
      <c r="H701" s="1520" t="s">
        <v>1849</v>
      </c>
      <c r="I701" s="1354">
        <f>8.78*0.26417</f>
        <v>2.3194126000000002</v>
      </c>
      <c r="J701" s="1521" t="s">
        <v>1826</v>
      </c>
      <c r="K701" s="1296"/>
      <c r="L701" s="1296"/>
      <c r="M701" s="1296"/>
      <c r="N701" s="1297"/>
      <c r="O701" s="1300"/>
      <c r="P701" s="1301"/>
      <c r="U701" s="1440" t="s">
        <v>1850</v>
      </c>
    </row>
    <row r="702" spans="1:23" ht="23.25" thickBot="1">
      <c r="A702" s="280" t="s">
        <v>1366</v>
      </c>
      <c r="B702" s="281">
        <v>37.5</v>
      </c>
      <c r="C702" s="281">
        <v>68.900000000000006</v>
      </c>
      <c r="D702" s="281">
        <v>0.01</v>
      </c>
      <c r="E702" s="281">
        <v>0.2</v>
      </c>
      <c r="F702" s="281">
        <f t="shared" si="11"/>
        <v>69.110000000000014</v>
      </c>
      <c r="H702" s="1522" t="s">
        <v>1851</v>
      </c>
      <c r="I702" s="1523">
        <f>11.27*0.26417</f>
        <v>2.9771958999999999</v>
      </c>
      <c r="J702" s="1521" t="s">
        <v>1826</v>
      </c>
      <c r="K702" s="1296"/>
      <c r="L702" s="1296"/>
      <c r="M702" s="1296"/>
      <c r="N702" s="1297"/>
      <c r="O702" s="1297"/>
      <c r="P702" s="1301"/>
      <c r="U702" s="1440" t="s">
        <v>1852</v>
      </c>
    </row>
    <row r="703" spans="1:23" ht="23.25" thickBot="1">
      <c r="A703" s="280" t="s">
        <v>1853</v>
      </c>
      <c r="B703" s="281">
        <v>36.799999999999997</v>
      </c>
      <c r="C703" s="281">
        <v>69.599999999999994</v>
      </c>
      <c r="D703" s="281">
        <v>0.02</v>
      </c>
      <c r="E703" s="281">
        <v>0.2</v>
      </c>
      <c r="F703" s="281">
        <f t="shared" si="11"/>
        <v>69.819999999999993</v>
      </c>
      <c r="H703" s="1309" t="s">
        <v>1854</v>
      </c>
      <c r="I703" s="1310"/>
      <c r="J703" s="1310"/>
      <c r="K703" s="1311"/>
      <c r="L703" s="1311"/>
      <c r="M703" s="1311"/>
      <c r="N703" s="1311"/>
      <c r="O703" s="1311"/>
      <c r="P703" s="1310"/>
      <c r="U703" s="1440" t="s">
        <v>1855</v>
      </c>
    </row>
    <row r="704" spans="1:23" ht="15.75" thickBot="1">
      <c r="A704" s="280" t="s">
        <v>1369</v>
      </c>
      <c r="B704" s="281">
        <v>37.299999999999997</v>
      </c>
      <c r="C704" s="281">
        <v>69.5</v>
      </c>
      <c r="D704" s="281">
        <v>0.03</v>
      </c>
      <c r="E704" s="281">
        <v>0.2</v>
      </c>
      <c r="F704" s="281">
        <f t="shared" si="11"/>
        <v>69.73</v>
      </c>
      <c r="H704" s="1813" t="s">
        <v>1856</v>
      </c>
      <c r="I704" s="1813"/>
      <c r="J704" s="1813"/>
      <c r="K704" s="1813"/>
      <c r="L704" s="1813"/>
      <c r="M704" s="1813"/>
      <c r="N704" s="1813"/>
      <c r="O704" s="1813"/>
      <c r="P704" s="1813"/>
      <c r="U704" s="1440" t="s">
        <v>1857</v>
      </c>
    </row>
    <row r="705" spans="1:33" ht="15.75" thickBot="1">
      <c r="A705" s="280" t="s">
        <v>1858</v>
      </c>
      <c r="B705" s="281">
        <v>38.6</v>
      </c>
      <c r="C705" s="281">
        <v>69.900000000000006</v>
      </c>
      <c r="D705" s="281">
        <v>0.1</v>
      </c>
      <c r="E705" s="281">
        <v>0.2</v>
      </c>
      <c r="F705" s="281">
        <f t="shared" si="11"/>
        <v>70.2</v>
      </c>
      <c r="H705" s="1313" t="s">
        <v>1859</v>
      </c>
      <c r="I705" s="1301"/>
      <c r="J705" s="1301"/>
      <c r="K705" s="1301"/>
      <c r="L705" s="1301"/>
      <c r="M705" s="1301"/>
      <c r="N705" s="1301"/>
      <c r="O705" s="1301"/>
      <c r="P705" s="1294"/>
      <c r="U705" s="1440" t="s">
        <v>1860</v>
      </c>
    </row>
    <row r="706" spans="1:33" ht="15.75" thickBot="1">
      <c r="A706" s="280" t="s">
        <v>1372</v>
      </c>
      <c r="B706" s="281">
        <v>39.700000000000003</v>
      </c>
      <c r="C706" s="281">
        <v>73.599999999999994</v>
      </c>
      <c r="D706" s="281">
        <v>0.04</v>
      </c>
      <c r="E706" s="281">
        <v>0.2</v>
      </c>
      <c r="F706" s="281">
        <f t="shared" si="11"/>
        <v>73.84</v>
      </c>
      <c r="H706" s="1813" t="s">
        <v>1861</v>
      </c>
      <c r="I706" s="1813"/>
      <c r="J706" s="1813"/>
      <c r="K706" s="1813"/>
      <c r="L706" s="1813"/>
      <c r="M706" s="1813"/>
      <c r="N706" s="1813"/>
      <c r="O706" s="1813"/>
      <c r="P706" s="1813"/>
      <c r="U706" s="1440" t="s">
        <v>1862</v>
      </c>
    </row>
    <row r="707" spans="1:33" ht="15.75" thickBot="1">
      <c r="A707" s="280" t="s">
        <v>1374</v>
      </c>
      <c r="B707" s="281">
        <v>34.4</v>
      </c>
      <c r="C707" s="281">
        <v>69.7</v>
      </c>
      <c r="D707" s="281">
        <v>0.03</v>
      </c>
      <c r="E707" s="281">
        <v>0.2</v>
      </c>
      <c r="F707" s="281">
        <f t="shared" si="11"/>
        <v>69.930000000000007</v>
      </c>
      <c r="H707" s="1814" t="s">
        <v>1863</v>
      </c>
      <c r="I707" s="1814"/>
      <c r="J707" s="1814"/>
      <c r="K707" s="1814"/>
      <c r="L707" s="1814"/>
      <c r="M707" s="1814"/>
      <c r="N707" s="1814"/>
      <c r="O707" s="1814"/>
      <c r="P707" s="1814"/>
      <c r="U707" s="1440" t="s">
        <v>1864</v>
      </c>
    </row>
    <row r="708" spans="1:33" ht="15.75" thickBot="1">
      <c r="A708" s="280" t="s">
        <v>1376</v>
      </c>
      <c r="B708" s="281">
        <v>34.4</v>
      </c>
      <c r="C708" s="281">
        <v>69.7</v>
      </c>
      <c r="D708" s="281">
        <v>0.03</v>
      </c>
      <c r="E708" s="281">
        <v>0.2</v>
      </c>
      <c r="F708" s="281">
        <f t="shared" si="11"/>
        <v>69.930000000000007</v>
      </c>
      <c r="H708" s="1315" t="s">
        <v>1865</v>
      </c>
      <c r="I708" s="1314"/>
      <c r="J708" s="1314"/>
      <c r="K708" s="1314"/>
      <c r="L708" s="1314"/>
      <c r="M708" s="1314"/>
      <c r="N708" s="1314"/>
      <c r="O708" s="1314"/>
      <c r="P708" s="1314"/>
      <c r="U708" s="1440" t="s">
        <v>1866</v>
      </c>
    </row>
    <row r="709" spans="1:33" ht="15.75" thickBot="1">
      <c r="A709" s="280" t="s">
        <v>1867</v>
      </c>
      <c r="B709" s="281">
        <v>25.7</v>
      </c>
      <c r="C709" s="281">
        <v>60.2</v>
      </c>
      <c r="D709" s="281">
        <v>0.2</v>
      </c>
      <c r="E709" s="281">
        <v>0.2</v>
      </c>
      <c r="F709" s="281">
        <f t="shared" si="11"/>
        <v>60.600000000000009</v>
      </c>
      <c r="H709" t="s">
        <v>1868</v>
      </c>
      <c r="U709" s="1440" t="s">
        <v>1869</v>
      </c>
    </row>
    <row r="710" spans="1:33" ht="15.75" thickBot="1">
      <c r="A710" s="280" t="s">
        <v>1378</v>
      </c>
      <c r="B710" s="281">
        <v>31.4</v>
      </c>
      <c r="C710" s="281">
        <v>69.8</v>
      </c>
      <c r="D710" s="281">
        <v>0.01</v>
      </c>
      <c r="E710" s="281">
        <v>0.01</v>
      </c>
      <c r="F710" s="281">
        <f t="shared" si="11"/>
        <v>69.820000000000007</v>
      </c>
      <c r="U710" s="1440" t="s">
        <v>1870</v>
      </c>
    </row>
    <row r="711" spans="1:33" ht="15.75" thickBot="1">
      <c r="A711" s="280" t="s">
        <v>1380</v>
      </c>
      <c r="B711" s="281" t="s">
        <v>1381</v>
      </c>
      <c r="C711" s="281">
        <v>92.6</v>
      </c>
      <c r="D711" s="281">
        <v>0.08</v>
      </c>
      <c r="E711" s="281">
        <v>0.2</v>
      </c>
      <c r="F711" s="281">
        <f t="shared" si="11"/>
        <v>92.88</v>
      </c>
      <c r="U711" s="1440" t="s">
        <v>1871</v>
      </c>
    </row>
    <row r="712" spans="1:33" ht="15.75" thickBot="1">
      <c r="A712" s="280" t="s">
        <v>1382</v>
      </c>
      <c r="B712" s="281" t="s">
        <v>1383</v>
      </c>
      <c r="C712" s="281">
        <v>54.7</v>
      </c>
      <c r="D712" s="281">
        <v>0.03</v>
      </c>
      <c r="E712" s="281">
        <v>0.03</v>
      </c>
      <c r="F712" s="281">
        <f t="shared" si="11"/>
        <v>54.760000000000005</v>
      </c>
      <c r="U712" s="1440" t="s">
        <v>1872</v>
      </c>
    </row>
    <row r="713" spans="1:33" ht="15.75" thickBot="1">
      <c r="A713" s="280" t="s">
        <v>1384</v>
      </c>
      <c r="B713" s="281" t="s">
        <v>1381</v>
      </c>
      <c r="C713" s="281">
        <v>92.6</v>
      </c>
      <c r="D713" s="281">
        <v>0.08</v>
      </c>
      <c r="E713" s="281">
        <v>0.2</v>
      </c>
      <c r="F713" s="281">
        <f t="shared" si="11"/>
        <v>92.88</v>
      </c>
      <c r="U713" s="1440" t="s">
        <v>1873</v>
      </c>
    </row>
    <row r="714" spans="1:33" ht="23.25" thickBot="1">
      <c r="A714" s="280" t="s">
        <v>1385</v>
      </c>
      <c r="B714" s="281">
        <v>34.4</v>
      </c>
      <c r="C714" s="281">
        <v>69.8</v>
      </c>
      <c r="D714" s="281">
        <v>0.02</v>
      </c>
      <c r="E714" s="281">
        <v>0.1</v>
      </c>
      <c r="F714" s="281">
        <f t="shared" si="11"/>
        <v>69.919999999999987</v>
      </c>
      <c r="U714" s="1440" t="s">
        <v>1874</v>
      </c>
    </row>
    <row r="715" spans="1:33" ht="15.75" thickBot="1">
      <c r="A715" s="280" t="s">
        <v>1875</v>
      </c>
      <c r="B715" s="281">
        <v>34.6</v>
      </c>
      <c r="C715" s="281">
        <v>70.8</v>
      </c>
      <c r="D715" s="281">
        <v>1E-3</v>
      </c>
      <c r="E715" s="281">
        <v>5.9999999999999995E-4</v>
      </c>
      <c r="F715" s="281">
        <f t="shared" si="11"/>
        <v>70.801600000000008</v>
      </c>
      <c r="G715" s="7"/>
      <c r="U715" s="1440" t="s">
        <v>1876</v>
      </c>
    </row>
    <row r="716" spans="1:33" ht="23.25" thickBot="1">
      <c r="A716" s="280" t="s">
        <v>1388</v>
      </c>
      <c r="B716" s="281">
        <v>23.4</v>
      </c>
      <c r="C716" s="281">
        <v>0</v>
      </c>
      <c r="D716" s="281">
        <v>0.08</v>
      </c>
      <c r="E716" s="281">
        <v>0.2</v>
      </c>
      <c r="F716" s="281">
        <f t="shared" si="11"/>
        <v>0.28000000000000003</v>
      </c>
      <c r="U716" s="1440" t="s">
        <v>1877</v>
      </c>
    </row>
    <row r="717" spans="1:33" ht="23.25" thickBot="1">
      <c r="A717" s="280" t="s">
        <v>1878</v>
      </c>
      <c r="B717" s="281">
        <v>23.4</v>
      </c>
      <c r="C717" s="281">
        <v>0</v>
      </c>
      <c r="D717" s="281">
        <v>0.08</v>
      </c>
      <c r="E717" s="281">
        <v>0.2</v>
      </c>
      <c r="F717" s="281">
        <f t="shared" si="11"/>
        <v>0.28000000000000003</v>
      </c>
      <c r="U717" s="1440" t="s">
        <v>1879</v>
      </c>
    </row>
    <row r="718" spans="1:33">
      <c r="A718" s="250" t="s">
        <v>1880</v>
      </c>
      <c r="B718" s="279"/>
      <c r="C718" s="279"/>
    </row>
    <row r="719" spans="1:33">
      <c r="A719" s="10" t="s">
        <v>1881</v>
      </c>
      <c r="B719" s="279"/>
      <c r="C719" s="279"/>
    </row>
    <row r="720" spans="1:33">
      <c r="A720" s="6" t="s">
        <v>1882</v>
      </c>
      <c r="B720" s="25"/>
      <c r="C720" s="25"/>
      <c r="D720" s="25"/>
      <c r="E720" s="25"/>
      <c r="F720" s="25"/>
      <c r="G720" s="25"/>
      <c r="H720" s="25"/>
      <c r="I720" s="25"/>
      <c r="L720" t="s">
        <v>1883</v>
      </c>
      <c r="Y720" s="1800"/>
      <c r="Z720" s="1800"/>
      <c r="AA720" s="1408"/>
      <c r="AB720" s="1409"/>
      <c r="AC720" s="1409"/>
      <c r="AD720" s="1409"/>
      <c r="AE720" s="1409"/>
      <c r="AF720" s="7"/>
      <c r="AG720" s="7"/>
    </row>
    <row r="721" spans="1:33" ht="18">
      <c r="A721" s="1809" t="s">
        <v>1613</v>
      </c>
      <c r="B721" s="1810"/>
      <c r="C721" s="170" t="s">
        <v>1340</v>
      </c>
      <c r="D721" s="170" t="s">
        <v>1614</v>
      </c>
      <c r="E721" s="172" t="s">
        <v>1615</v>
      </c>
      <c r="F721" s="172" t="s">
        <v>1616</v>
      </c>
      <c r="G721" s="172" t="s">
        <v>1617</v>
      </c>
      <c r="S721" s="179"/>
      <c r="Y721" s="1808"/>
      <c r="Z721" s="1410"/>
      <c r="AA721" s="1410"/>
      <c r="AB721" s="1411"/>
      <c r="AC721" s="1411"/>
      <c r="AD721" s="1411"/>
      <c r="AE721" s="1411"/>
      <c r="AF721" s="7"/>
      <c r="AG721" s="7"/>
    </row>
    <row r="722" spans="1:33">
      <c r="A722" s="1492" t="s">
        <v>1884</v>
      </c>
      <c r="B722" s="173" t="s">
        <v>72</v>
      </c>
      <c r="C722" s="173" t="s">
        <v>1637</v>
      </c>
      <c r="D722" s="174">
        <v>0.17818999999999999</v>
      </c>
      <c r="E722" s="175">
        <v>0.17751</v>
      </c>
      <c r="F722" s="175">
        <v>3.5799999999999997E-4</v>
      </c>
      <c r="G722" s="175">
        <v>3.2000000000000003E-4</v>
      </c>
      <c r="S722" s="182"/>
      <c r="T722" s="165"/>
      <c r="U722" s="1440" t="s">
        <v>1885</v>
      </c>
      <c r="Y722" s="1808"/>
      <c r="Z722" s="1410"/>
      <c r="AA722" s="1410"/>
      <c r="AB722" s="1411"/>
      <c r="AC722" s="1411"/>
      <c r="AD722" s="1412"/>
      <c r="AE722" s="1411"/>
      <c r="AF722" s="7"/>
      <c r="AG722" s="7"/>
    </row>
    <row r="723" spans="1:33">
      <c r="A723" s="1493"/>
      <c r="B723" s="173" t="s">
        <v>70</v>
      </c>
      <c r="C723" s="173" t="s">
        <v>1637</v>
      </c>
      <c r="D723" s="174">
        <v>0.16716</v>
      </c>
      <c r="E723" s="175">
        <v>0.16547999999999999</v>
      </c>
      <c r="F723" s="175">
        <v>5.0000000000000004E-6</v>
      </c>
      <c r="G723" s="175">
        <v>1.6720000000000001E-3</v>
      </c>
      <c r="S723" s="182"/>
      <c r="T723" s="165"/>
      <c r="U723" s="1440" t="s">
        <v>1885</v>
      </c>
      <c r="Y723" s="1808"/>
      <c r="Z723" s="1410"/>
      <c r="AA723" s="1410"/>
      <c r="AB723" s="1411"/>
      <c r="AC723" s="1411"/>
      <c r="AD723" s="1411"/>
      <c r="AE723" s="1411"/>
      <c r="AF723" s="7"/>
      <c r="AG723" s="7"/>
    </row>
    <row r="724" spans="1:33">
      <c r="A724" s="1493"/>
      <c r="B724" s="173" t="s">
        <v>1077</v>
      </c>
      <c r="C724" s="173" t="s">
        <v>1637</v>
      </c>
      <c r="D724" s="174">
        <v>0.10904</v>
      </c>
      <c r="E724" s="175">
        <v>0.10783</v>
      </c>
      <c r="F724" s="175">
        <v>1.6799999999999999E-4</v>
      </c>
      <c r="G724" s="175">
        <v>1.0399999999999999E-3</v>
      </c>
      <c r="S724" s="182"/>
      <c r="T724" s="165"/>
      <c r="U724" s="1440" t="s">
        <v>1885</v>
      </c>
      <c r="Y724" s="1808"/>
      <c r="Z724" s="1410"/>
      <c r="AA724" s="1410"/>
      <c r="AB724" s="1411"/>
      <c r="AC724" s="1411"/>
      <c r="AD724" s="1412"/>
      <c r="AE724" s="1411"/>
      <c r="AF724" s="7"/>
      <c r="AG724" s="7"/>
    </row>
    <row r="725" spans="1:33">
      <c r="A725" s="1493"/>
      <c r="B725" s="173" t="s">
        <v>1343</v>
      </c>
      <c r="C725" s="173" t="s">
        <v>1637</v>
      </c>
      <c r="D725" s="174">
        <v>0.15659999999999999</v>
      </c>
      <c r="E725" s="175">
        <v>0.15447</v>
      </c>
      <c r="F725" s="175">
        <v>1.7700000000000001E-3</v>
      </c>
      <c r="G725" s="175">
        <v>3.6000000000000002E-4</v>
      </c>
      <c r="S725" s="182"/>
      <c r="T725" s="165"/>
      <c r="U725" s="1440" t="s">
        <v>1885</v>
      </c>
      <c r="Y725" s="1808"/>
      <c r="Z725" s="1410"/>
      <c r="AA725" s="1410"/>
      <c r="AB725" s="1411"/>
      <c r="AC725" s="1411"/>
      <c r="AD725" s="1411"/>
      <c r="AE725" s="1413"/>
      <c r="AF725" s="7"/>
      <c r="AG725" s="7"/>
    </row>
    <row r="726" spans="1:33">
      <c r="A726" s="1493"/>
      <c r="B726" s="173" t="s">
        <v>68</v>
      </c>
      <c r="C726" s="173" t="s">
        <v>1637</v>
      </c>
      <c r="D726" s="174">
        <v>0.17607</v>
      </c>
      <c r="E726" s="175">
        <v>0.17565</v>
      </c>
      <c r="F726" s="175">
        <v>6.0000000000000002E-5</v>
      </c>
      <c r="G726" s="175">
        <v>3.6000000000000002E-4</v>
      </c>
      <c r="S726" s="182"/>
      <c r="T726" s="165"/>
      <c r="U726" s="1440" t="s">
        <v>1885</v>
      </c>
      <c r="Y726" s="1808"/>
      <c r="Z726" s="1410"/>
      <c r="AA726" s="1410"/>
      <c r="AB726" s="1411"/>
      <c r="AC726" s="1411"/>
      <c r="AD726" s="1412"/>
      <c r="AE726" s="1411"/>
      <c r="AF726" s="7"/>
      <c r="AG726" s="7"/>
    </row>
    <row r="727" spans="1:33">
      <c r="A727" s="1493"/>
      <c r="B727" s="173" t="s">
        <v>1886</v>
      </c>
      <c r="C727" s="173" t="s">
        <v>1637</v>
      </c>
      <c r="D727" s="174">
        <v>6.1440000000000002E-2</v>
      </c>
      <c r="E727" s="175">
        <v>6.0999999999999999E-2</v>
      </c>
      <c r="F727" s="175">
        <v>2.5000000000000001E-4</v>
      </c>
      <c r="G727" s="175">
        <v>2.0000000000000001E-4</v>
      </c>
      <c r="S727" s="182"/>
      <c r="T727" s="165"/>
      <c r="U727" s="1440" t="s">
        <v>1885</v>
      </c>
      <c r="Y727" s="1808"/>
      <c r="Z727" s="1410"/>
      <c r="AA727" s="1410"/>
      <c r="AB727" s="1411"/>
      <c r="AC727" s="1411"/>
      <c r="AD727" s="1411"/>
      <c r="AE727" s="1413"/>
      <c r="AF727" s="7"/>
      <c r="AG727" s="7"/>
    </row>
    <row r="728" spans="1:33">
      <c r="A728" s="1494"/>
      <c r="B728" s="173" t="s">
        <v>1083</v>
      </c>
      <c r="C728" s="173" t="s">
        <v>1637</v>
      </c>
      <c r="D728" s="174">
        <v>0</v>
      </c>
      <c r="E728" s="175">
        <v>0</v>
      </c>
      <c r="F728" s="175">
        <v>0</v>
      </c>
      <c r="G728" s="175">
        <v>0</v>
      </c>
      <c r="S728" s="182"/>
      <c r="T728" s="165"/>
      <c r="U728" s="1440" t="s">
        <v>1885</v>
      </c>
      <c r="Y728" s="1808"/>
      <c r="Z728" s="1410"/>
      <c r="AA728" s="1410"/>
      <c r="AB728" s="1411"/>
      <c r="AC728" s="1411"/>
      <c r="AD728" s="1411"/>
      <c r="AE728" s="1411"/>
      <c r="AF728" s="7"/>
      <c r="AG728" s="7"/>
    </row>
    <row r="729" spans="1:33">
      <c r="A729" s="1805" t="s">
        <v>1887</v>
      </c>
      <c r="B729" s="173" t="s">
        <v>72</v>
      </c>
      <c r="C729" s="173" t="s">
        <v>1637</v>
      </c>
      <c r="D729" s="174">
        <v>0.21070874111622362</v>
      </c>
      <c r="E729" s="175">
        <v>0.20148189842696052</v>
      </c>
      <c r="F729" s="175">
        <v>2.3721237826868375E-3</v>
      </c>
      <c r="G729" s="175">
        <v>6.8547189065762681E-3</v>
      </c>
      <c r="S729" s="182"/>
      <c r="T729" s="165"/>
      <c r="U729" s="1440" t="s">
        <v>1888</v>
      </c>
      <c r="Y729" s="1808"/>
      <c r="Z729" s="1410"/>
      <c r="AA729" s="1410"/>
      <c r="AB729" s="1411"/>
      <c r="AC729" s="1411"/>
      <c r="AD729" s="1412"/>
      <c r="AE729" s="1411"/>
      <c r="AF729" s="7"/>
      <c r="AG729" s="7"/>
    </row>
    <row r="730" spans="1:33">
      <c r="A730" s="1806"/>
      <c r="B730" s="173" t="s">
        <v>70</v>
      </c>
      <c r="C730" s="173" t="s">
        <v>1637</v>
      </c>
      <c r="D730" s="174">
        <v>0.2015891509280674</v>
      </c>
      <c r="E730" s="175">
        <v>0.19816735509900874</v>
      </c>
      <c r="F730" s="176">
        <v>2.6484487841011442E-4</v>
      </c>
      <c r="G730" s="175">
        <v>3.1569509506485637E-3</v>
      </c>
      <c r="S730" s="182"/>
      <c r="T730" s="165"/>
      <c r="U730" s="1440" t="s">
        <v>1888</v>
      </c>
      <c r="Y730" s="1808"/>
      <c r="Z730" s="1410"/>
      <c r="AA730" s="1410"/>
      <c r="AB730" s="1411"/>
      <c r="AC730" s="1411"/>
      <c r="AD730" s="1411"/>
      <c r="AE730" s="1411"/>
      <c r="AF730" s="7"/>
      <c r="AG730" s="7"/>
    </row>
    <row r="731" spans="1:33">
      <c r="A731" s="1806"/>
      <c r="B731" s="173" t="s">
        <v>1077</v>
      </c>
      <c r="C731" s="173" t="s">
        <v>1637</v>
      </c>
      <c r="D731" s="174">
        <v>0.16465265516828964</v>
      </c>
      <c r="E731" s="175">
        <v>0.15744258813661718</v>
      </c>
      <c r="F731" s="175">
        <v>1.8536320664162616E-3</v>
      </c>
      <c r="G731" s="175">
        <v>5.3564349652562042E-3</v>
      </c>
      <c r="S731" s="182"/>
      <c r="T731" s="165"/>
      <c r="U731" s="1440" t="s">
        <v>1888</v>
      </c>
      <c r="Y731" s="1808"/>
      <c r="Z731" s="1410"/>
      <c r="AA731" s="1410"/>
      <c r="AB731" s="1411"/>
      <c r="AC731" s="1411"/>
      <c r="AD731" s="1412"/>
      <c r="AE731" s="1411"/>
      <c r="AF731" s="7"/>
      <c r="AG731" s="7"/>
    </row>
    <row r="732" spans="1:33">
      <c r="A732" s="1806"/>
      <c r="B732" s="173" t="s">
        <v>1078</v>
      </c>
      <c r="C732" s="173" t="s">
        <v>1637</v>
      </c>
      <c r="D732" s="174">
        <v>0.17986828746933048</v>
      </c>
      <c r="E732" s="175">
        <v>0.17681518390195594</v>
      </c>
      <c r="F732" s="176">
        <v>2.3630832564818234E-4</v>
      </c>
      <c r="G732" s="175">
        <v>2.8167952417263338E-3</v>
      </c>
      <c r="S732" s="182"/>
      <c r="T732" s="165"/>
      <c r="U732" s="1440" t="s">
        <v>1888</v>
      </c>
      <c r="Y732" s="1808"/>
      <c r="Z732" s="1410"/>
      <c r="AA732" s="1410"/>
      <c r="AB732" s="1411"/>
      <c r="AC732" s="1411"/>
      <c r="AD732" s="1411"/>
      <c r="AE732" s="1411"/>
      <c r="AF732" s="7"/>
      <c r="AG732" s="7"/>
    </row>
    <row r="733" spans="1:33">
      <c r="A733" s="1806"/>
      <c r="B733" s="173" t="s">
        <v>1079</v>
      </c>
      <c r="C733" s="173" t="s">
        <v>1637</v>
      </c>
      <c r="D733" s="174">
        <v>8.6168222871404909E-2</v>
      </c>
      <c r="E733" s="175">
        <v>8.2394954458162986E-2</v>
      </c>
      <c r="F733" s="175">
        <v>9.7006744809117692E-4</v>
      </c>
      <c r="G733" s="175">
        <v>2.8032009651507467E-3</v>
      </c>
      <c r="S733" s="182"/>
      <c r="T733" s="165"/>
      <c r="U733" s="1440" t="s">
        <v>1888</v>
      </c>
      <c r="Y733" s="1808"/>
      <c r="Z733" s="1410"/>
      <c r="AA733" s="1410"/>
      <c r="AB733" s="1411"/>
      <c r="AC733" s="1411"/>
      <c r="AD733" s="1411"/>
      <c r="AE733" s="1412"/>
      <c r="AF733" s="7"/>
      <c r="AG733" s="7"/>
    </row>
    <row r="734" spans="1:33">
      <c r="A734" s="1806"/>
      <c r="B734" s="173" t="s">
        <v>1080</v>
      </c>
      <c r="C734" s="173" t="s">
        <v>1637</v>
      </c>
      <c r="D734" s="174">
        <v>2.1155224490718202E-2</v>
      </c>
      <c r="E734" s="175">
        <v>1.0584874474475637E-2</v>
      </c>
      <c r="F734" s="175">
        <v>1.0165708712678174E-2</v>
      </c>
      <c r="G734" s="176">
        <v>4.0464130356439358E-4</v>
      </c>
      <c r="S734" s="182"/>
      <c r="T734" s="165"/>
      <c r="U734" s="1440" t="s">
        <v>1888</v>
      </c>
      <c r="Y734" s="1808"/>
      <c r="Z734" s="1410"/>
      <c r="AA734" s="1410"/>
      <c r="AB734" s="1411"/>
      <c r="AC734" s="1411"/>
      <c r="AD734" s="1411"/>
      <c r="AE734" s="1411"/>
      <c r="AF734" s="7"/>
      <c r="AG734" s="7"/>
    </row>
    <row r="735" spans="1:33">
      <c r="A735" s="1806"/>
      <c r="B735" s="173" t="s">
        <v>1081</v>
      </c>
      <c r="C735" s="173" t="s">
        <v>1637</v>
      </c>
      <c r="D735" s="174">
        <v>9.4131070442282944E-2</v>
      </c>
      <c r="E735" s="175">
        <v>9.2533279575356953E-2</v>
      </c>
      <c r="F735" s="175">
        <v>1.2366802375588209E-4</v>
      </c>
      <c r="G735" s="175">
        <v>1.4741228431701145E-3</v>
      </c>
      <c r="S735" s="182"/>
      <c r="T735" s="165"/>
      <c r="U735" s="1440" t="s">
        <v>1888</v>
      </c>
      <c r="Y735" s="1808"/>
      <c r="Z735" s="1410"/>
      <c r="AA735" s="1410"/>
      <c r="AB735" s="1411"/>
      <c r="AC735" s="1411"/>
      <c r="AD735" s="1411"/>
      <c r="AE735" s="1411"/>
      <c r="AF735" s="7"/>
      <c r="AG735" s="7"/>
    </row>
    <row r="736" spans="1:33">
      <c r="A736" s="1806"/>
      <c r="B736" s="173" t="s">
        <v>1082</v>
      </c>
      <c r="C736" s="173" t="s">
        <v>1637</v>
      </c>
      <c r="D736" s="174">
        <v>2.0837286111117223E-2</v>
      </c>
      <c r="E736" s="175">
        <v>1.0425796141831561E-2</v>
      </c>
      <c r="F736" s="175">
        <v>1.0012929953132393E-2</v>
      </c>
      <c r="G736" s="175">
        <v>3.9856001615327019E-4</v>
      </c>
      <c r="S736" s="182"/>
      <c r="T736" s="165"/>
      <c r="U736" s="1440" t="s">
        <v>1888</v>
      </c>
      <c r="Y736" s="1808"/>
      <c r="Z736" s="1410"/>
      <c r="AA736" s="1410"/>
      <c r="AB736" s="1411"/>
      <c r="AC736" s="1411"/>
      <c r="AD736" s="1411"/>
      <c r="AE736" s="1413"/>
      <c r="AF736" s="7"/>
      <c r="AG736" s="7"/>
    </row>
    <row r="737" spans="1:38">
      <c r="A737" s="1807"/>
      <c r="B737" s="173" t="s">
        <v>1083</v>
      </c>
      <c r="C737" s="173" t="s">
        <v>1637</v>
      </c>
      <c r="D737" s="174">
        <v>2.3159299848938074E-2</v>
      </c>
      <c r="E737" s="175">
        <v>2.2242181220154627E-2</v>
      </c>
      <c r="F737" s="175">
        <v>8.8533967059417618E-4</v>
      </c>
      <c r="G737" s="234">
        <v>3.177895818926895E-5</v>
      </c>
      <c r="S737" s="182"/>
      <c r="T737" s="165"/>
      <c r="U737" s="1440" t="s">
        <v>1888</v>
      </c>
      <c r="Y737" s="1808"/>
      <c r="Z737" s="1410"/>
      <c r="AA737" s="1410"/>
      <c r="AB737" s="1411"/>
      <c r="AC737" s="1411"/>
      <c r="AD737" s="1412"/>
      <c r="AE737" s="1411"/>
      <c r="AF737" s="7"/>
      <c r="AG737" s="7"/>
    </row>
    <row r="738" spans="1:38">
      <c r="A738" s="1805" t="s">
        <v>1889</v>
      </c>
      <c r="B738" s="173" t="s">
        <v>1890</v>
      </c>
      <c r="C738" s="173" t="s">
        <v>1637</v>
      </c>
      <c r="D738" s="174">
        <v>0.22469677300280874</v>
      </c>
      <c r="E738" s="175">
        <v>0.22088274592285784</v>
      </c>
      <c r="F738" s="176">
        <v>2.9520333436152367E-4</v>
      </c>
      <c r="G738" s="180">
        <v>3.5188237455893623E-3</v>
      </c>
      <c r="S738" s="182"/>
      <c r="T738" s="165"/>
      <c r="U738" s="1440" t="s">
        <v>1888</v>
      </c>
      <c r="Y738" s="1808"/>
      <c r="Z738" s="1410"/>
      <c r="AA738" s="1410"/>
      <c r="AB738" s="1411"/>
      <c r="AC738" s="1411"/>
      <c r="AD738" s="1412"/>
      <c r="AE738" s="1411"/>
      <c r="AF738" s="7"/>
      <c r="AG738" s="7"/>
    </row>
    <row r="739" spans="1:38">
      <c r="A739" s="1807"/>
      <c r="B739" s="173" t="s">
        <v>2416</v>
      </c>
      <c r="C739" s="173" t="s">
        <v>1892</v>
      </c>
      <c r="D739" s="174">
        <v>7.021774156337772E-2</v>
      </c>
      <c r="E739" s="175">
        <v>6.9025858100893067E-2</v>
      </c>
      <c r="F739" s="176">
        <v>9.2251041987976147E-5</v>
      </c>
      <c r="G739" s="180">
        <v>1.0996324204966756E-3</v>
      </c>
      <c r="U739" s="1440" t="s">
        <v>1888</v>
      </c>
      <c r="Y739" s="1414"/>
      <c r="Z739" s="1414"/>
      <c r="AA739" s="1414"/>
      <c r="AB739" s="1799"/>
      <c r="AC739" s="1799"/>
      <c r="AD739" s="1799"/>
      <c r="AE739" s="1799"/>
      <c r="AF739" s="7"/>
      <c r="AG739" s="7"/>
    </row>
    <row r="740" spans="1:38">
      <c r="A740" s="197" t="s">
        <v>1893</v>
      </c>
      <c r="B740" s="198"/>
      <c r="C740" s="198"/>
      <c r="D740" s="1815" t="s">
        <v>1894</v>
      </c>
      <c r="E740" s="1816"/>
      <c r="F740" s="1816"/>
      <c r="G740" s="1817"/>
      <c r="H740" s="1815" t="s">
        <v>1895</v>
      </c>
      <c r="I740" s="1816"/>
      <c r="J740" s="1816"/>
      <c r="K740" s="1817"/>
      <c r="U740" s="1440" t="s">
        <v>1888</v>
      </c>
      <c r="Y740" s="1800"/>
      <c r="Z740" s="1800"/>
      <c r="AA740" s="1408"/>
      <c r="AB740" s="1409"/>
      <c r="AC740" s="1409"/>
      <c r="AD740" s="1409"/>
      <c r="AE740" s="1409"/>
      <c r="AF740" s="7"/>
      <c r="AG740" s="7"/>
    </row>
    <row r="741" spans="1:38" ht="18">
      <c r="A741" s="1809" t="s">
        <v>1613</v>
      </c>
      <c r="B741" s="1810"/>
      <c r="C741" s="170" t="s">
        <v>1340</v>
      </c>
      <c r="D741" s="171" t="s">
        <v>1614</v>
      </c>
      <c r="E741" s="172" t="s">
        <v>1615</v>
      </c>
      <c r="F741" s="172" t="s">
        <v>1616</v>
      </c>
      <c r="G741" s="172" t="s">
        <v>1617</v>
      </c>
      <c r="H741" s="171" t="s">
        <v>1614</v>
      </c>
      <c r="I741" s="172" t="s">
        <v>1615</v>
      </c>
      <c r="J741" s="172" t="s">
        <v>1616</v>
      </c>
      <c r="K741" s="172" t="s">
        <v>1617</v>
      </c>
      <c r="L741" s="179"/>
      <c r="U741" s="1440" t="s">
        <v>1888</v>
      </c>
      <c r="Y741" s="1801"/>
      <c r="Z741" s="1410"/>
      <c r="AA741" s="1410"/>
      <c r="AB741" s="1411"/>
      <c r="AC741" s="1411"/>
      <c r="AD741" s="1412"/>
      <c r="AE741" s="1411"/>
      <c r="AF741" s="7"/>
      <c r="AG741" s="7"/>
    </row>
    <row r="742" spans="1:38">
      <c r="A742" s="1921" t="s">
        <v>1896</v>
      </c>
      <c r="B742" s="235" t="s">
        <v>1897</v>
      </c>
      <c r="C742" s="235" t="s">
        <v>1674</v>
      </c>
      <c r="D742" s="236">
        <v>0.27257999999999999</v>
      </c>
      <c r="E742" s="1504">
        <v>0.27100999999999997</v>
      </c>
      <c r="F742" s="1504">
        <v>2.2000000000000001E-4</v>
      </c>
      <c r="G742" s="1504">
        <v>1.34E-3</v>
      </c>
      <c r="H742" s="1503">
        <v>0.16098999999999999</v>
      </c>
      <c r="I742" s="1504">
        <v>0.15942000000000001</v>
      </c>
      <c r="J742" s="1504">
        <v>2.2000000000000001E-4</v>
      </c>
      <c r="K742" s="1504">
        <v>1.34E-3</v>
      </c>
      <c r="L742" s="182"/>
      <c r="M742" s="165"/>
      <c r="N742" s="165"/>
      <c r="U742" s="1440" t="s">
        <v>1888</v>
      </c>
      <c r="Y742" s="1801"/>
      <c r="Z742" s="1410"/>
      <c r="AA742" s="1410"/>
      <c r="AB742" s="1411"/>
      <c r="AC742" s="1411"/>
      <c r="AD742" s="1412"/>
      <c r="AE742" s="1411"/>
      <c r="AF742" s="7"/>
      <c r="AG742" s="7"/>
    </row>
    <row r="743" spans="1:38">
      <c r="A743" s="1922"/>
      <c r="B743" s="235" t="s">
        <v>1898</v>
      </c>
      <c r="C743" s="235" t="s">
        <v>1674</v>
      </c>
      <c r="D743" s="236">
        <v>0.1344681228983661</v>
      </c>
      <c r="E743" s="237">
        <v>0.13204358515917225</v>
      </c>
      <c r="F743" s="238">
        <v>4.8898240118195528E-4</v>
      </c>
      <c r="G743" s="237">
        <v>1.9355553380119061E-3</v>
      </c>
      <c r="K743" s="182"/>
      <c r="L743" s="182"/>
      <c r="M743" s="165"/>
      <c r="N743" s="165"/>
      <c r="U743" s="1440" t="s">
        <v>1888</v>
      </c>
      <c r="Y743" s="1801"/>
      <c r="Z743" s="1410"/>
      <c r="AA743" s="1410"/>
      <c r="AB743" s="1411"/>
      <c r="AC743" s="1411"/>
      <c r="AD743" s="1412"/>
      <c r="AE743" s="1411"/>
      <c r="AF743" s="7"/>
      <c r="AG743" s="7"/>
    </row>
    <row r="744" spans="1:38">
      <c r="A744" s="1922"/>
      <c r="B744" s="235" t="s">
        <v>1899</v>
      </c>
      <c r="C744" s="235" t="s">
        <v>1674</v>
      </c>
      <c r="D744" s="236">
        <v>0.21349003162963931</v>
      </c>
      <c r="E744" s="237">
        <v>0.20964068334194902</v>
      </c>
      <c r="F744" s="238">
        <v>7.7633915045854387E-4</v>
      </c>
      <c r="G744" s="237">
        <v>3.0730091372317358E-3</v>
      </c>
      <c r="K744" s="182"/>
      <c r="L744" s="182"/>
      <c r="M744" s="165"/>
      <c r="N744" s="165"/>
      <c r="U744" s="1440" t="s">
        <v>1888</v>
      </c>
      <c r="Y744" s="1801"/>
      <c r="Z744" s="1410"/>
      <c r="AA744" s="1410"/>
      <c r="AB744" s="1411"/>
      <c r="AC744" s="1411"/>
      <c r="AD744" s="1412"/>
      <c r="AE744" s="1411"/>
      <c r="AF744" s="7"/>
      <c r="AG744" s="7"/>
    </row>
    <row r="745" spans="1:38">
      <c r="A745" s="1922"/>
      <c r="B745" s="235" t="s">
        <v>1900</v>
      </c>
      <c r="C745" s="235" t="s">
        <v>1674</v>
      </c>
      <c r="D745" s="236">
        <v>0.65924664237510633</v>
      </c>
      <c r="E745" s="237">
        <v>0.64736004554142135</v>
      </c>
      <c r="F745" s="238">
        <v>2.3972968404070596E-3</v>
      </c>
      <c r="G745" s="237">
        <v>9.4892999932779439E-3</v>
      </c>
      <c r="K745" s="182"/>
      <c r="L745" s="182"/>
      <c r="M745" s="165"/>
      <c r="N745" s="165"/>
      <c r="U745" s="1440" t="s">
        <v>1888</v>
      </c>
      <c r="Y745" s="1415"/>
      <c r="Z745" s="1415"/>
      <c r="AA745" s="1415"/>
      <c r="AB745" s="1415"/>
      <c r="AC745" s="1415"/>
      <c r="AD745" s="1415"/>
      <c r="AE745" s="1415"/>
      <c r="AF745" s="7"/>
      <c r="AG745" s="7"/>
    </row>
    <row r="746" spans="1:38">
      <c r="A746" s="239"/>
      <c r="B746" s="239"/>
      <c r="C746" s="239"/>
      <c r="D746" s="239"/>
      <c r="E746" s="239"/>
      <c r="F746" s="239"/>
      <c r="G746" s="239"/>
      <c r="Y746" s="1414"/>
      <c r="Z746" s="1414"/>
      <c r="AA746" s="1414"/>
      <c r="AB746" s="1799"/>
      <c r="AC746" s="1799"/>
      <c r="AD746" s="1799"/>
      <c r="AE746" s="1799"/>
      <c r="AF746" s="7"/>
      <c r="AG746" s="7"/>
    </row>
    <row r="747" spans="1:38">
      <c r="A747" s="197" t="s">
        <v>1901</v>
      </c>
      <c r="B747" s="198"/>
      <c r="C747" s="198"/>
      <c r="D747" s="1815" t="s">
        <v>1894</v>
      </c>
      <c r="E747" s="1816"/>
      <c r="F747" s="1816"/>
      <c r="G747" s="1817"/>
      <c r="H747" s="1815" t="s">
        <v>1895</v>
      </c>
      <c r="I747" s="1816"/>
      <c r="J747" s="1816"/>
      <c r="K747" s="1817"/>
      <c r="N747" s="1507" t="s">
        <v>1902</v>
      </c>
      <c r="O747" s="1507" t="s">
        <v>1903</v>
      </c>
      <c r="Y747" s="1800"/>
      <c r="Z747" s="1800"/>
      <c r="AA747" s="1408"/>
      <c r="AB747" s="1409"/>
      <c r="AC747" s="1409"/>
      <c r="AD747" s="1409"/>
      <c r="AE747" s="1409"/>
      <c r="AF747" s="7"/>
      <c r="AG747" s="7"/>
    </row>
    <row r="748" spans="1:38" ht="33" customHeight="1">
      <c r="A748" s="1809" t="s">
        <v>1613</v>
      </c>
      <c r="B748" s="1810"/>
      <c r="C748" s="170" t="s">
        <v>1340</v>
      </c>
      <c r="D748" s="171" t="s">
        <v>1614</v>
      </c>
      <c r="E748" s="172" t="s">
        <v>1615</v>
      </c>
      <c r="F748" s="172" t="s">
        <v>1616</v>
      </c>
      <c r="G748" s="172" t="s">
        <v>1617</v>
      </c>
      <c r="H748" s="172" t="s">
        <v>1614</v>
      </c>
      <c r="I748" s="172" t="s">
        <v>1615</v>
      </c>
      <c r="J748" s="172" t="s">
        <v>1616</v>
      </c>
      <c r="K748" s="172" t="s">
        <v>1617</v>
      </c>
      <c r="L748" s="1505" t="s">
        <v>1904</v>
      </c>
      <c r="M748" s="1505" t="s">
        <v>1905</v>
      </c>
      <c r="N748" s="172" t="s">
        <v>1614</v>
      </c>
      <c r="O748" s="172" t="s">
        <v>1614</v>
      </c>
      <c r="Y748" s="1808"/>
      <c r="Z748" s="1410"/>
      <c r="AA748" s="1410"/>
      <c r="AB748" s="1411"/>
      <c r="AC748" s="1411"/>
      <c r="AD748" s="1413"/>
      <c r="AE748" s="1411"/>
      <c r="AF748" s="7"/>
      <c r="AG748" s="7"/>
      <c r="AH748" s="1290"/>
      <c r="AI748" s="1290"/>
      <c r="AK748">
        <v>213</v>
      </c>
      <c r="AL748" t="s">
        <v>1906</v>
      </c>
    </row>
    <row r="749" spans="1:38">
      <c r="A749" s="1805" t="s">
        <v>1907</v>
      </c>
      <c r="B749" s="173" t="s">
        <v>1908</v>
      </c>
      <c r="C749" s="173" t="s">
        <v>1674</v>
      </c>
      <c r="D749" s="236">
        <v>0.18592</v>
      </c>
      <c r="E749" s="175">
        <v>0.18498999999999999</v>
      </c>
      <c r="F749" s="175">
        <v>1.0000000000000001E-5</v>
      </c>
      <c r="G749" s="175">
        <v>9.2000000000000003E-4</v>
      </c>
      <c r="H749" s="174">
        <v>0.10974</v>
      </c>
      <c r="I749" s="175">
        <v>0.10881</v>
      </c>
      <c r="J749" s="175">
        <v>1.0000000000000001E-5</v>
      </c>
      <c r="K749" s="175">
        <v>9.2000000000000003E-4</v>
      </c>
      <c r="L749" s="1805" t="s">
        <v>1677</v>
      </c>
      <c r="M749" s="173" t="s">
        <v>1908</v>
      </c>
      <c r="N749" s="174">
        <v>2.2859999999999998E-2</v>
      </c>
      <c r="O749" s="174">
        <v>2.2859999999999998E-2</v>
      </c>
      <c r="U749" s="1440" t="s">
        <v>1909</v>
      </c>
      <c r="Y749" s="1808"/>
      <c r="Z749" s="1410"/>
      <c r="AA749" s="1410"/>
      <c r="AB749" s="1411"/>
      <c r="AC749" s="1411"/>
      <c r="AD749" s="1413"/>
      <c r="AE749" s="1411"/>
      <c r="AF749" s="7"/>
      <c r="AG749" s="7"/>
      <c r="AH749" s="1290"/>
      <c r="AI749" s="1290"/>
      <c r="AK749">
        <v>200</v>
      </c>
      <c r="AL749" t="s">
        <v>1906</v>
      </c>
    </row>
    <row r="750" spans="1:38">
      <c r="A750" s="1806"/>
      <c r="B750" s="173" t="s">
        <v>1910</v>
      </c>
      <c r="C750" s="173" t="s">
        <v>1674</v>
      </c>
      <c r="D750" s="236">
        <v>0.18287</v>
      </c>
      <c r="E750" s="175">
        <v>0.18196000000000001</v>
      </c>
      <c r="F750" s="175">
        <v>1.0000000000000001E-5</v>
      </c>
      <c r="G750" s="175">
        <v>8.9999999999999998E-4</v>
      </c>
      <c r="H750" s="174">
        <v>0.10793999999999999</v>
      </c>
      <c r="I750" s="175">
        <v>0.10703</v>
      </c>
      <c r="J750" s="175">
        <v>1.0000000000000001E-5</v>
      </c>
      <c r="K750" s="175">
        <v>8.9999999999999998E-4</v>
      </c>
      <c r="L750" s="1806"/>
      <c r="M750" s="173" t="s">
        <v>1910</v>
      </c>
      <c r="N750" s="174">
        <v>2.249E-2</v>
      </c>
      <c r="O750" s="174">
        <v>2.249E-2</v>
      </c>
      <c r="U750" s="1440" t="s">
        <v>1909</v>
      </c>
      <c r="Y750" s="1808"/>
      <c r="Z750" s="1410"/>
      <c r="AA750" s="1410"/>
      <c r="AB750" s="1411"/>
      <c r="AC750" s="1411"/>
      <c r="AD750" s="1413"/>
      <c r="AE750" s="1411"/>
      <c r="AF750" s="7"/>
      <c r="AG750" s="7"/>
      <c r="AH750" s="1290"/>
      <c r="AI750" s="1290"/>
      <c r="AK750">
        <v>178</v>
      </c>
      <c r="AL750" t="s">
        <v>1906</v>
      </c>
    </row>
    <row r="751" spans="1:38">
      <c r="A751" s="1807"/>
      <c r="B751" s="173" t="s">
        <v>1911</v>
      </c>
      <c r="C751" s="173" t="s">
        <v>1674</v>
      </c>
      <c r="D751" s="236">
        <v>0.27429999999999999</v>
      </c>
      <c r="E751" s="175">
        <v>0.27294000000000002</v>
      </c>
      <c r="F751" s="175">
        <v>1.0000000000000001E-5</v>
      </c>
      <c r="G751" s="175">
        <v>1.3500000000000001E-3</v>
      </c>
      <c r="H751" s="174">
        <v>0.16191</v>
      </c>
      <c r="I751" s="175">
        <v>0.16055</v>
      </c>
      <c r="J751" s="175">
        <v>1.0000000000000001E-5</v>
      </c>
      <c r="K751" s="175">
        <v>1.3500000000000001E-3</v>
      </c>
      <c r="L751" s="1807"/>
      <c r="M751" s="173" t="s">
        <v>1911</v>
      </c>
      <c r="N751" s="174">
        <v>3.3730000000000003E-2</v>
      </c>
      <c r="O751" s="174">
        <v>3.3730000000000003E-2</v>
      </c>
      <c r="U751" s="1440" t="s">
        <v>1909</v>
      </c>
      <c r="Y751" s="1808"/>
      <c r="Z751" s="1410"/>
      <c r="AA751" s="1410"/>
      <c r="AB751" s="1411"/>
      <c r="AC751" s="1411"/>
      <c r="AD751" s="1413"/>
      <c r="AE751" s="1411"/>
      <c r="AF751" s="7"/>
      <c r="AG751" s="7"/>
      <c r="AH751" s="1290"/>
      <c r="AI751" s="1290"/>
      <c r="AK751">
        <v>172</v>
      </c>
      <c r="AL751" t="s">
        <v>1906</v>
      </c>
    </row>
    <row r="752" spans="1:38">
      <c r="A752" s="1805" t="s">
        <v>1912</v>
      </c>
      <c r="B752" s="173" t="s">
        <v>1908</v>
      </c>
      <c r="C752" s="173" t="s">
        <v>1674</v>
      </c>
      <c r="D752" s="236">
        <v>0.26128000000000001</v>
      </c>
      <c r="E752" s="175">
        <v>0.25997999999999999</v>
      </c>
      <c r="F752" s="175">
        <v>1.0000000000000001E-5</v>
      </c>
      <c r="G752" s="175">
        <v>1.2899999999999999E-3</v>
      </c>
      <c r="H752" s="174">
        <v>0.15423000000000001</v>
      </c>
      <c r="I752" s="175">
        <v>0.15293000000000001</v>
      </c>
      <c r="J752" s="175">
        <v>1.0000000000000001E-5</v>
      </c>
      <c r="K752" s="175">
        <v>1.2899999999999999E-3</v>
      </c>
      <c r="L752" s="1818" t="s">
        <v>1913</v>
      </c>
      <c r="M752" s="173" t="s">
        <v>1908</v>
      </c>
      <c r="N752" s="174">
        <v>3.2129999999999999E-2</v>
      </c>
      <c r="O752" s="174">
        <v>3.2129999999999999E-2</v>
      </c>
      <c r="U752" s="1440" t="s">
        <v>1909</v>
      </c>
      <c r="Y752" s="1808"/>
      <c r="Z752" s="1410"/>
      <c r="AA752" s="1410"/>
      <c r="AB752" s="1411"/>
      <c r="AC752" s="1411"/>
      <c r="AD752" s="1413"/>
      <c r="AE752" s="1411"/>
      <c r="AF752" s="7"/>
      <c r="AG752" s="7"/>
    </row>
    <row r="753" spans="1:35">
      <c r="A753" s="1806"/>
      <c r="B753" s="173" t="s">
        <v>1910</v>
      </c>
      <c r="C753" s="173" t="s">
        <v>1674</v>
      </c>
      <c r="D753" s="236">
        <v>0.20011000000000001</v>
      </c>
      <c r="E753" s="175">
        <v>0.19911000000000001</v>
      </c>
      <c r="F753" s="175">
        <v>1.0000000000000001E-5</v>
      </c>
      <c r="G753" s="175">
        <v>9.8999999999999999E-4</v>
      </c>
      <c r="H753" s="174">
        <v>0.11812</v>
      </c>
      <c r="I753" s="175">
        <v>0.11712</v>
      </c>
      <c r="J753" s="175">
        <v>1.0000000000000001E-5</v>
      </c>
      <c r="K753" s="175">
        <v>9.8999999999999999E-4</v>
      </c>
      <c r="L753" s="1819"/>
      <c r="M753" s="173" t="s">
        <v>1910</v>
      </c>
      <c r="N753" s="174">
        <v>2.461E-2</v>
      </c>
      <c r="O753" s="174">
        <v>2.461E-2</v>
      </c>
      <c r="U753" s="1440" t="s">
        <v>1909</v>
      </c>
      <c r="Y753" s="1808"/>
      <c r="Z753" s="1410"/>
      <c r="AA753" s="1410"/>
      <c r="AB753" s="1411"/>
      <c r="AC753" s="1411"/>
      <c r="AD753" s="1413"/>
      <c r="AE753" s="1411"/>
      <c r="AF753" s="7"/>
      <c r="AG753" s="7"/>
      <c r="AI753" s="1290"/>
    </row>
    <row r="754" spans="1:35">
      <c r="A754" s="1806"/>
      <c r="B754" s="173" t="s">
        <v>1914</v>
      </c>
      <c r="C754" s="173" t="s">
        <v>1674</v>
      </c>
      <c r="D754" s="236">
        <v>0.32016</v>
      </c>
      <c r="E754" s="175">
        <v>0.31857000000000002</v>
      </c>
      <c r="F754" s="175">
        <v>1.0000000000000001E-5</v>
      </c>
      <c r="G754" s="175">
        <v>1.57E-3</v>
      </c>
      <c r="H754" s="174">
        <v>0.18898000000000001</v>
      </c>
      <c r="I754" s="175">
        <v>0.18739</v>
      </c>
      <c r="J754" s="175">
        <v>1.0000000000000001E-5</v>
      </c>
      <c r="K754" s="175">
        <v>1.57E-3</v>
      </c>
      <c r="L754" s="1819"/>
      <c r="M754" s="173" t="s">
        <v>1914</v>
      </c>
      <c r="N754" s="174">
        <v>3.9370000000000002E-2</v>
      </c>
      <c r="O754" s="174">
        <v>3.9370000000000002E-2</v>
      </c>
      <c r="U754" s="1440" t="s">
        <v>1909</v>
      </c>
      <c r="Y754" s="1808"/>
      <c r="Z754" s="1410"/>
      <c r="AA754" s="1410"/>
      <c r="AB754" s="1411"/>
      <c r="AC754" s="1411"/>
      <c r="AD754" s="1413"/>
      <c r="AE754" s="1411"/>
      <c r="AF754" s="7"/>
      <c r="AG754" s="7"/>
    </row>
    <row r="755" spans="1:35">
      <c r="A755" s="1806"/>
      <c r="B755" s="173" t="s">
        <v>1911</v>
      </c>
      <c r="C755" s="173" t="s">
        <v>1674</v>
      </c>
      <c r="D755" s="236">
        <v>0.58028999999999997</v>
      </c>
      <c r="E755" s="175">
        <v>0.57740999999999998</v>
      </c>
      <c r="F755" s="175">
        <v>2.0000000000000002E-5</v>
      </c>
      <c r="G755" s="175">
        <v>2.8500000000000001E-3</v>
      </c>
      <c r="H755" s="174">
        <v>0.34253</v>
      </c>
      <c r="I755" s="175">
        <v>0.33965000000000001</v>
      </c>
      <c r="J755" s="175">
        <v>2.0000000000000002E-5</v>
      </c>
      <c r="K755" s="175">
        <v>2.8500000000000001E-3</v>
      </c>
      <c r="L755" s="1819"/>
      <c r="M755" s="173" t="s">
        <v>1911</v>
      </c>
      <c r="N755" s="174">
        <v>7.1370000000000003E-2</v>
      </c>
      <c r="O755" s="174">
        <v>7.1370000000000003E-2</v>
      </c>
      <c r="U755" s="1440" t="s">
        <v>1909</v>
      </c>
      <c r="Y755" s="1808"/>
      <c r="Z755" s="1410"/>
      <c r="AA755" s="1410"/>
      <c r="AB755" s="1411"/>
      <c r="AC755" s="1411"/>
      <c r="AD755" s="1413"/>
      <c r="AE755" s="1411"/>
      <c r="AF755" s="7"/>
      <c r="AG755" s="7"/>
      <c r="AI755" s="1290"/>
    </row>
    <row r="756" spans="1:35">
      <c r="A756" s="1807"/>
      <c r="B756" s="173" t="s">
        <v>1915</v>
      </c>
      <c r="C756" s="173" t="s">
        <v>1674</v>
      </c>
      <c r="D756" s="236">
        <v>0.8004</v>
      </c>
      <c r="E756" s="175">
        <v>0.79642999999999997</v>
      </c>
      <c r="F756" s="175">
        <v>3.0000000000000001E-5</v>
      </c>
      <c r="G756" s="175">
        <v>3.9399999999999999E-3</v>
      </c>
      <c r="H756" s="174">
        <v>0.47245999999999999</v>
      </c>
      <c r="I756" s="175">
        <v>0.46849000000000002</v>
      </c>
      <c r="J756" s="175">
        <v>3.0000000000000001E-5</v>
      </c>
      <c r="K756" s="175">
        <v>3.9399999999999999E-3</v>
      </c>
      <c r="L756" s="1820"/>
      <c r="M756" s="173" t="s">
        <v>1915</v>
      </c>
      <c r="N756" s="174">
        <v>9.844E-2</v>
      </c>
      <c r="O756" s="174">
        <v>9.844E-2</v>
      </c>
      <c r="U756" s="1440" t="s">
        <v>1909</v>
      </c>
      <c r="Y756" s="1414"/>
      <c r="Z756" s="163"/>
      <c r="AA756" s="163"/>
      <c r="AB756" s="1416"/>
      <c r="AC756" s="1416"/>
      <c r="AD756" s="1416"/>
      <c r="AE756" s="1416"/>
      <c r="AF756" s="1416"/>
      <c r="AG756" s="7"/>
      <c r="AI756" s="1290"/>
    </row>
    <row r="757" spans="1:35">
      <c r="A757" s="1805" t="s">
        <v>1916</v>
      </c>
      <c r="B757" s="173" t="s">
        <v>1908</v>
      </c>
      <c r="C757" s="173" t="s">
        <v>1674</v>
      </c>
      <c r="D757" s="236">
        <v>0.17580000000000001</v>
      </c>
      <c r="E757" s="175">
        <v>0.17493</v>
      </c>
      <c r="F757" s="175">
        <v>1.0000000000000001E-5</v>
      </c>
      <c r="G757" s="175">
        <v>8.5999999999999998E-4</v>
      </c>
      <c r="H757" s="174">
        <v>0.10377</v>
      </c>
      <c r="I757" s="175">
        <v>0.10290000000000001</v>
      </c>
      <c r="J757" s="175">
        <v>1.0000000000000001E-5</v>
      </c>
      <c r="K757" s="175">
        <v>8.5999999999999998E-4</v>
      </c>
      <c r="L757" s="1818" t="s">
        <v>1057</v>
      </c>
      <c r="M757" s="173" t="s">
        <v>1908</v>
      </c>
      <c r="N757" s="174">
        <v>2.162E-2</v>
      </c>
      <c r="O757" s="174">
        <v>2.162E-2</v>
      </c>
      <c r="U757" s="1440" t="s">
        <v>1909</v>
      </c>
      <c r="Y757" s="1414"/>
      <c r="Z757" s="163"/>
      <c r="AA757" s="163"/>
      <c r="AB757" s="1416"/>
      <c r="AC757" s="1416"/>
      <c r="AD757" s="1416"/>
      <c r="AE757" s="1416"/>
      <c r="AF757" s="1416"/>
      <c r="AG757" s="7"/>
      <c r="AI757" s="1290"/>
    </row>
    <row r="758" spans="1:35">
      <c r="A758" s="1806"/>
      <c r="B758" s="173" t="s">
        <v>1910</v>
      </c>
      <c r="C758" s="173" t="s">
        <v>1674</v>
      </c>
      <c r="D758" s="236">
        <v>0.13464000000000001</v>
      </c>
      <c r="E758" s="175">
        <v>0.13397000000000001</v>
      </c>
      <c r="F758" s="175">
        <v>1.0000000000000001E-5</v>
      </c>
      <c r="G758" s="175">
        <v>6.7000000000000002E-4</v>
      </c>
      <c r="H758" s="174">
        <v>7.9469999999999999E-2</v>
      </c>
      <c r="I758" s="175">
        <v>7.8799999999999995E-2</v>
      </c>
      <c r="J758" s="175">
        <v>1.0000000000000001E-5</v>
      </c>
      <c r="K758" s="175">
        <v>6.7000000000000002E-4</v>
      </c>
      <c r="L758" s="1819"/>
      <c r="M758" s="173" t="s">
        <v>1910</v>
      </c>
      <c r="N758" s="174">
        <v>1.6559999999999998E-2</v>
      </c>
      <c r="O758" s="174">
        <v>1.6559999999999998E-2</v>
      </c>
      <c r="U758" s="1440" t="s">
        <v>1909</v>
      </c>
      <c r="Y758" s="1414"/>
      <c r="Z758" s="163"/>
      <c r="AA758" s="163"/>
      <c r="AB758" s="1416"/>
      <c r="AC758" s="1416"/>
      <c r="AD758" s="1416"/>
      <c r="AE758" s="1416"/>
      <c r="AF758" s="1416"/>
      <c r="AG758" s="7"/>
      <c r="AI758" s="1290"/>
    </row>
    <row r="759" spans="1:35">
      <c r="A759" s="1806"/>
      <c r="B759" s="173" t="s">
        <v>1914</v>
      </c>
      <c r="C759" s="173" t="s">
        <v>1674</v>
      </c>
      <c r="D759" s="236">
        <v>0.21542</v>
      </c>
      <c r="E759" s="175">
        <v>0.21435000000000001</v>
      </c>
      <c r="F759" s="175">
        <v>1.0000000000000001E-5</v>
      </c>
      <c r="G759" s="175">
        <v>1.06E-3</v>
      </c>
      <c r="H759" s="174">
        <v>0.12716</v>
      </c>
      <c r="I759" s="175">
        <v>0.12609000000000001</v>
      </c>
      <c r="J759" s="175">
        <v>1.0000000000000001E-5</v>
      </c>
      <c r="K759" s="175">
        <v>1.06E-3</v>
      </c>
      <c r="L759" s="1819"/>
      <c r="M759" s="173" t="s">
        <v>1914</v>
      </c>
      <c r="N759" s="174">
        <v>2.649E-2</v>
      </c>
      <c r="O759" s="174">
        <v>2.649E-2</v>
      </c>
      <c r="U759" s="1440" t="s">
        <v>1909</v>
      </c>
      <c r="Y759" s="1414"/>
      <c r="Z759" s="163"/>
      <c r="AA759" s="163"/>
      <c r="AB759" s="1416"/>
      <c r="AC759" s="1416"/>
      <c r="AD759" s="1416"/>
      <c r="AE759" s="1416"/>
      <c r="AF759" s="1416"/>
      <c r="AG759" s="7"/>
      <c r="AI759" s="1290"/>
    </row>
    <row r="760" spans="1:35">
      <c r="A760" s="1806"/>
      <c r="B760" s="173" t="s">
        <v>1911</v>
      </c>
      <c r="C760" s="173" t="s">
        <v>1674</v>
      </c>
      <c r="D760" s="236">
        <v>0.39044000000000001</v>
      </c>
      <c r="E760" s="175">
        <v>0.38850000000000001</v>
      </c>
      <c r="F760" s="175">
        <v>2.0000000000000002E-5</v>
      </c>
      <c r="G760" s="175">
        <v>1.92E-3</v>
      </c>
      <c r="H760" s="174">
        <v>0.23047000000000001</v>
      </c>
      <c r="I760" s="175">
        <v>0.22853000000000001</v>
      </c>
      <c r="J760" s="175">
        <v>2.0000000000000002E-5</v>
      </c>
      <c r="K760" s="175">
        <v>1.92E-3</v>
      </c>
      <c r="L760" s="1819"/>
      <c r="M760" s="173" t="s">
        <v>1911</v>
      </c>
      <c r="N760" s="174">
        <v>4.802E-2</v>
      </c>
      <c r="O760" s="174">
        <v>4.802E-2</v>
      </c>
      <c r="U760" s="1440" t="s">
        <v>1909</v>
      </c>
      <c r="Y760" s="1414"/>
      <c r="Z760" s="163"/>
      <c r="AA760" s="163"/>
      <c r="AB760" s="1416"/>
      <c r="AC760" s="1416"/>
      <c r="AD760" s="1416"/>
      <c r="AE760" s="1416"/>
      <c r="AF760" s="1416"/>
      <c r="AG760" s="7"/>
      <c r="AI760" s="1290"/>
    </row>
    <row r="761" spans="1:35">
      <c r="A761" s="1807"/>
      <c r="B761" s="173" t="s">
        <v>1915</v>
      </c>
      <c r="C761" s="173" t="s">
        <v>1674</v>
      </c>
      <c r="D761" s="236">
        <v>0.53854000000000002</v>
      </c>
      <c r="E761" s="175">
        <v>0.53586999999999996</v>
      </c>
      <c r="F761" s="175">
        <v>2.0000000000000002E-5</v>
      </c>
      <c r="G761" s="175">
        <v>2.65E-3</v>
      </c>
      <c r="H761" s="174">
        <v>0.31789000000000001</v>
      </c>
      <c r="I761" s="175">
        <v>0.31522</v>
      </c>
      <c r="J761" s="175">
        <v>2.0000000000000002E-5</v>
      </c>
      <c r="K761" s="175">
        <v>2.65E-3</v>
      </c>
      <c r="L761" s="1819"/>
      <c r="M761" s="173" t="s">
        <v>1915</v>
      </c>
      <c r="N761" s="174">
        <v>6.6229999999999997E-2</v>
      </c>
      <c r="O761" s="174">
        <v>6.6229999999999997E-2</v>
      </c>
      <c r="U761" s="1440" t="s">
        <v>1909</v>
      </c>
      <c r="Y761" s="1414"/>
      <c r="Z761" s="163"/>
      <c r="AA761" s="163"/>
      <c r="AB761" s="1416"/>
      <c r="AC761" s="1416"/>
      <c r="AD761" s="1416"/>
      <c r="AE761" s="1416"/>
      <c r="AF761" s="1416"/>
      <c r="AG761" s="7"/>
      <c r="AI761" s="1290"/>
    </row>
    <row r="762" spans="1:35">
      <c r="A762" s="197" t="s">
        <v>1917</v>
      </c>
      <c r="B762" s="244"/>
      <c r="C762" s="244"/>
      <c r="D762" s="245"/>
      <c r="E762" s="245"/>
      <c r="F762" s="245"/>
      <c r="G762" s="245"/>
      <c r="H762" s="245"/>
      <c r="Y762" s="1811"/>
      <c r="Z762" s="1811"/>
      <c r="AA762" s="1409"/>
      <c r="AB762" s="1409"/>
      <c r="AC762" s="1409"/>
      <c r="AD762" s="1409"/>
      <c r="AE762" s="1409"/>
      <c r="AF762" s="1409"/>
      <c r="AG762" s="7"/>
    </row>
    <row r="763" spans="1:35" ht="18">
      <c r="A763" s="1859" t="s">
        <v>1613</v>
      </c>
      <c r="B763" s="1860"/>
      <c r="C763" s="172" t="s">
        <v>1340</v>
      </c>
      <c r="D763" s="171" t="s">
        <v>1614</v>
      </c>
      <c r="E763" s="172" t="s">
        <v>1615</v>
      </c>
      <c r="F763" s="172" t="s">
        <v>1616</v>
      </c>
      <c r="G763" s="172" t="s">
        <v>1617</v>
      </c>
      <c r="H763" s="246" t="s">
        <v>1619</v>
      </c>
      <c r="Y763" s="1812"/>
      <c r="Z763" s="92"/>
      <c r="AA763" s="92"/>
      <c r="AB763" s="1417"/>
      <c r="AC763" s="1417"/>
      <c r="AD763" s="1417"/>
      <c r="AE763" s="1417"/>
      <c r="AF763" s="1418"/>
      <c r="AG763" s="7"/>
    </row>
    <row r="764" spans="1:35">
      <c r="A764" s="1856" t="s">
        <v>165</v>
      </c>
      <c r="B764" s="242" t="s">
        <v>1100</v>
      </c>
      <c r="C764" s="242" t="s">
        <v>1674</v>
      </c>
      <c r="D764" s="243">
        <v>0.13600000000000001</v>
      </c>
      <c r="E764" s="243">
        <v>0.13400000000000001</v>
      </c>
      <c r="F764" s="243">
        <v>0</v>
      </c>
      <c r="G764" s="243">
        <v>2E-3</v>
      </c>
      <c r="H764" s="247"/>
      <c r="Y764" s="1812"/>
      <c r="Z764" s="92"/>
      <c r="AA764" s="92"/>
      <c r="AB764" s="1417"/>
      <c r="AC764" s="1417"/>
      <c r="AD764" s="1419"/>
      <c r="AE764" s="1420"/>
      <c r="AF764" s="1418"/>
      <c r="AG764" s="7"/>
    </row>
    <row r="765" spans="1:35">
      <c r="A765" s="1857"/>
      <c r="B765" s="228" t="s">
        <v>1101</v>
      </c>
      <c r="C765" s="228" t="s">
        <v>1674</v>
      </c>
      <c r="D765" s="241">
        <v>1.2508482416231228E-2</v>
      </c>
      <c r="E765" s="241">
        <v>1.2013140919874989E-2</v>
      </c>
      <c r="F765" s="248">
        <v>4.7817748266370798E-4</v>
      </c>
      <c r="G765" s="249">
        <v>1.7164013692531599E-5</v>
      </c>
      <c r="H765" s="247" t="s">
        <v>1918</v>
      </c>
      <c r="Y765" s="1812"/>
      <c r="Z765" s="92"/>
      <c r="AA765" s="92"/>
      <c r="AB765" s="1417"/>
      <c r="AC765" s="1417"/>
      <c r="AD765" s="1419"/>
      <c r="AE765" s="1417"/>
      <c r="AF765" s="1418"/>
      <c r="AG765" s="7"/>
    </row>
    <row r="766" spans="1:35">
      <c r="A766" s="1857"/>
      <c r="B766" s="228" t="s">
        <v>1102</v>
      </c>
      <c r="C766" s="228" t="s">
        <v>1674</v>
      </c>
      <c r="D766" s="241">
        <v>0.1111722908844396</v>
      </c>
      <c r="E766" s="241">
        <v>0.10928524051737389</v>
      </c>
      <c r="F766" s="248">
        <v>1.4605652995864594E-4</v>
      </c>
      <c r="G766" s="241">
        <v>1.7409938371070594E-3</v>
      </c>
      <c r="H766" s="247" t="s">
        <v>1918</v>
      </c>
      <c r="Y766" s="1812"/>
      <c r="Z766" s="92"/>
      <c r="AA766" s="92"/>
      <c r="AB766" s="1417"/>
      <c r="AC766" s="1417"/>
      <c r="AD766" s="1419"/>
      <c r="AE766" s="1417"/>
      <c r="AF766" s="1418"/>
      <c r="AG766" s="7"/>
    </row>
    <row r="767" spans="1:35">
      <c r="A767" s="1858"/>
      <c r="B767" s="228" t="s">
        <v>1919</v>
      </c>
      <c r="C767" s="228" t="s">
        <v>1674</v>
      </c>
      <c r="D767" s="241">
        <v>0.10839126257380391</v>
      </c>
      <c r="E767" s="241">
        <v>0.10654344018536273</v>
      </c>
      <c r="F767" s="248">
        <v>1.5541799477910935E-4</v>
      </c>
      <c r="G767" s="241">
        <v>1.6924043936620635E-3</v>
      </c>
      <c r="H767" s="247" t="s">
        <v>1918</v>
      </c>
      <c r="Y767" s="1812"/>
      <c r="Z767" s="92"/>
      <c r="AA767" s="92"/>
      <c r="AB767" s="1417"/>
      <c r="AC767" s="1417"/>
      <c r="AD767" s="1419"/>
      <c r="AE767" s="1420"/>
      <c r="AF767" s="1418"/>
      <c r="AG767" s="7"/>
    </row>
    <row r="768" spans="1:35">
      <c r="A768" s="1856" t="s">
        <v>1011</v>
      </c>
      <c r="B768" s="228" t="s">
        <v>1096</v>
      </c>
      <c r="C768" s="228" t="s">
        <v>1674</v>
      </c>
      <c r="D768" s="241">
        <v>9.3249854445803439E-3</v>
      </c>
      <c r="E768" s="241">
        <v>8.9557118516763144E-3</v>
      </c>
      <c r="F768" s="248">
        <v>3.5647794171889889E-4</v>
      </c>
      <c r="G768" s="249">
        <v>1.2795651185130641E-5</v>
      </c>
      <c r="H768" s="247" t="s">
        <v>1918</v>
      </c>
      <c r="Y768" s="1812"/>
      <c r="Z768" s="92"/>
      <c r="AA768" s="92"/>
      <c r="AB768" s="1417"/>
      <c r="AC768" s="1417"/>
      <c r="AD768" s="1420"/>
      <c r="AE768" s="1417"/>
      <c r="AF768" s="1418"/>
      <c r="AG768" s="7"/>
    </row>
    <row r="769" spans="1:33">
      <c r="A769" s="1857"/>
      <c r="B769" s="228" t="s">
        <v>1097</v>
      </c>
      <c r="C769" s="228" t="s">
        <v>1674</v>
      </c>
      <c r="D769" s="241">
        <v>3.7728737685299288E-2</v>
      </c>
      <c r="E769" s="241">
        <v>3.7088326052764201E-2</v>
      </c>
      <c r="F769" s="249">
        <v>4.9567463818505326E-5</v>
      </c>
      <c r="G769" s="241">
        <v>5.9084416871658355E-4</v>
      </c>
      <c r="H769" s="247" t="s">
        <v>1918</v>
      </c>
      <c r="Y769" s="1812"/>
      <c r="Z769" s="92"/>
      <c r="AA769" s="92"/>
      <c r="AB769" s="1417"/>
      <c r="AC769" s="1417"/>
      <c r="AD769" s="1419"/>
      <c r="AE769" s="1419"/>
      <c r="AF769" s="1418"/>
      <c r="AG769" s="7"/>
    </row>
    <row r="770" spans="1:33">
      <c r="A770" s="1858"/>
      <c r="B770" s="228" t="s">
        <v>1095</v>
      </c>
      <c r="C770" s="228" t="s">
        <v>1674</v>
      </c>
      <c r="D770" s="241">
        <v>1.4349829733419901E-2</v>
      </c>
      <c r="E770" s="241">
        <v>1.3932589716277945E-2</v>
      </c>
      <c r="F770" s="248">
        <v>3.0218309542559888E-4</v>
      </c>
      <c r="G770" s="248">
        <v>1.150569217163572E-4</v>
      </c>
      <c r="H770" s="247" t="s">
        <v>1918</v>
      </c>
    </row>
    <row r="771" spans="1:33">
      <c r="A771" s="10"/>
    </row>
    <row r="772" spans="1:33">
      <c r="A772" s="25"/>
    </row>
    <row r="773" spans="1:33">
      <c r="A773" s="167"/>
    </row>
    <row r="774" spans="1:33">
      <c r="A774" s="1891" t="s">
        <v>1920</v>
      </c>
      <c r="B774" s="1891"/>
      <c r="C774" s="1891"/>
      <c r="D774" s="1891"/>
      <c r="E774" s="1891"/>
      <c r="F774" s="1891"/>
      <c r="G774" s="1891"/>
    </row>
    <row r="775" spans="1:33">
      <c r="A775" s="1892" t="s">
        <v>1635</v>
      </c>
      <c r="B775" s="1892"/>
      <c r="C775" s="689" t="s">
        <v>1340</v>
      </c>
      <c r="D775" s="689" t="s">
        <v>1107</v>
      </c>
      <c r="E775" s="689" t="s">
        <v>1921</v>
      </c>
      <c r="F775" s="689" t="s">
        <v>1922</v>
      </c>
      <c r="G775" s="689" t="s">
        <v>1923</v>
      </c>
    </row>
    <row r="776" spans="1:33">
      <c r="A776" s="1893" t="s">
        <v>1613</v>
      </c>
      <c r="B776" s="1985" t="s">
        <v>1924</v>
      </c>
      <c r="C776" s="1985"/>
      <c r="D776" s="1985"/>
      <c r="E776" s="1985"/>
      <c r="F776" s="1985"/>
      <c r="G776" s="1985"/>
    </row>
    <row r="777" spans="1:33">
      <c r="A777" s="1893"/>
      <c r="B777" s="690" t="s">
        <v>1636</v>
      </c>
      <c r="C777" s="690" t="s">
        <v>1637</v>
      </c>
      <c r="D777" s="1199">
        <v>0.15934905960000001</v>
      </c>
      <c r="E777" s="1200">
        <v>0.15273447270000001</v>
      </c>
      <c r="F777" s="1200">
        <v>2.0078444000000001E-3</v>
      </c>
      <c r="G777" s="1200">
        <v>4.6067425999999998E-3</v>
      </c>
    </row>
    <row r="778" spans="1:33">
      <c r="A778" s="1893"/>
      <c r="B778" s="690" t="s">
        <v>1925</v>
      </c>
      <c r="C778" s="690" t="s">
        <v>1637</v>
      </c>
      <c r="D778" s="1199">
        <v>0.16491770959999999</v>
      </c>
      <c r="E778" s="1200">
        <v>0.15807196770000001</v>
      </c>
      <c r="F778" s="1200">
        <v>2.0780109999999998E-3</v>
      </c>
      <c r="G778" s="1200">
        <v>4.7677309000000003E-3</v>
      </c>
    </row>
    <row r="779" spans="1:33">
      <c r="A779" s="1893"/>
      <c r="B779" s="690" t="s">
        <v>1926</v>
      </c>
      <c r="C779" s="690" t="s">
        <v>1637</v>
      </c>
      <c r="D779" s="1199">
        <v>0.1856930574</v>
      </c>
      <c r="E779" s="1200">
        <v>0.17798492990000001</v>
      </c>
      <c r="F779" s="1200">
        <v>2.3397864000000001E-3</v>
      </c>
      <c r="G779" s="1200">
        <v>5.3683411E-3</v>
      </c>
    </row>
    <row r="780" spans="1:33">
      <c r="A780" s="1893"/>
      <c r="B780" s="690" t="s">
        <v>1927</v>
      </c>
      <c r="C780" s="690" t="s">
        <v>1637</v>
      </c>
      <c r="D780" s="1199">
        <v>0.20625422639999999</v>
      </c>
      <c r="E780" s="1200">
        <v>0.19769260380000001</v>
      </c>
      <c r="F780" s="1200">
        <v>2.5988630999999999E-3</v>
      </c>
      <c r="G780" s="1200">
        <v>5.9627595000000004E-3</v>
      </c>
    </row>
    <row r="781" spans="1:33">
      <c r="A781" s="1893"/>
      <c r="B781" s="690" t="s">
        <v>1641</v>
      </c>
      <c r="C781" s="690" t="s">
        <v>1637</v>
      </c>
      <c r="D781" s="1199">
        <v>0.24673402790000001</v>
      </c>
      <c r="E781" s="1200">
        <v>0.2364920868</v>
      </c>
      <c r="F781" s="1200">
        <v>3.1089204E-3</v>
      </c>
      <c r="G781" s="1200">
        <v>7.1330207000000001E-3</v>
      </c>
    </row>
    <row r="782" spans="1:33">
      <c r="A782" s="1893"/>
      <c r="B782" s="1985" t="s">
        <v>1928</v>
      </c>
      <c r="C782" s="1985"/>
      <c r="D782" s="1985"/>
      <c r="E782" s="1985"/>
      <c r="F782" s="1985"/>
      <c r="G782" s="1985"/>
    </row>
    <row r="783" spans="1:33">
      <c r="A783" s="1893"/>
      <c r="B783" s="690" t="s">
        <v>1636</v>
      </c>
      <c r="C783" s="690" t="s">
        <v>1637</v>
      </c>
      <c r="D783" s="1199">
        <v>0.17775776369999999</v>
      </c>
      <c r="E783" s="1200">
        <v>0.17502182390000001</v>
      </c>
      <c r="F783" s="1200">
        <v>2.6145500000000001E-4</v>
      </c>
      <c r="G783" s="1200">
        <v>2.4744848000000002E-3</v>
      </c>
    </row>
    <row r="784" spans="1:33">
      <c r="A784" s="1893"/>
      <c r="B784" s="690" t="s">
        <v>1925</v>
      </c>
      <c r="C784" s="690" t="s">
        <v>1637</v>
      </c>
      <c r="D784" s="1199">
        <v>0.1710587475</v>
      </c>
      <c r="E784" s="1200">
        <v>0.1684259149</v>
      </c>
      <c r="F784" s="1200">
        <v>2.5160169999999997E-4</v>
      </c>
      <c r="G784" s="1200">
        <v>2.3812308000000001E-3</v>
      </c>
    </row>
    <row r="785" spans="1:7">
      <c r="A785" s="1893"/>
      <c r="B785" s="690" t="s">
        <v>1926</v>
      </c>
      <c r="C785" s="690" t="s">
        <v>1637</v>
      </c>
      <c r="D785" s="1199">
        <v>0.18130234689999999</v>
      </c>
      <c r="E785" s="1200">
        <v>0.178511851</v>
      </c>
      <c r="F785" s="1200">
        <v>2.6666850000000002E-4</v>
      </c>
      <c r="G785" s="1200">
        <v>2.5238272999999999E-3</v>
      </c>
    </row>
    <row r="786" spans="1:7">
      <c r="A786" s="1893"/>
      <c r="B786" s="690" t="s">
        <v>1929</v>
      </c>
      <c r="C786" s="690" t="s">
        <v>1637</v>
      </c>
      <c r="D786" s="1199">
        <v>0.2227529422</v>
      </c>
      <c r="E786" s="1200">
        <v>0.21932446389999999</v>
      </c>
      <c r="F786" s="1200">
        <v>3.276361E-4</v>
      </c>
      <c r="G786" s="1200">
        <v>3.1008421E-3</v>
      </c>
    </row>
    <row r="787" spans="1:7">
      <c r="A787" s="1893"/>
      <c r="B787" s="690" t="s">
        <v>1641</v>
      </c>
      <c r="C787" s="690" t="s">
        <v>1637</v>
      </c>
      <c r="D787" s="1199">
        <v>0.24709274070000001</v>
      </c>
      <c r="E787" s="1200">
        <v>0.243289639</v>
      </c>
      <c r="F787" s="1200">
        <v>3.6343630000000002E-4</v>
      </c>
      <c r="G787" s="1200">
        <v>3.4396653999999999E-3</v>
      </c>
    </row>
    <row r="788" spans="1:7">
      <c r="A788" s="1893"/>
      <c r="B788" s="1985" t="s">
        <v>1930</v>
      </c>
      <c r="C788" s="1985"/>
      <c r="D788" s="1985"/>
      <c r="E788" s="1985"/>
      <c r="F788" s="1985"/>
      <c r="G788" s="1985"/>
    </row>
    <row r="789" spans="1:7">
      <c r="A789" s="1893"/>
      <c r="B789" s="690" t="s">
        <v>1636</v>
      </c>
      <c r="C789" s="690" t="s">
        <v>1637</v>
      </c>
      <c r="D789" s="1199">
        <v>0.12575972760000001</v>
      </c>
      <c r="E789" s="1200">
        <v>0.12053943540000001</v>
      </c>
      <c r="F789" s="1200">
        <v>1.5846091000000001E-3</v>
      </c>
      <c r="G789" s="1200">
        <v>3.6356830999999998E-3</v>
      </c>
    </row>
    <row r="790" spans="1:7">
      <c r="A790" s="1893"/>
      <c r="B790" s="690" t="s">
        <v>1925</v>
      </c>
      <c r="C790" s="690" t="s">
        <v>1637</v>
      </c>
      <c r="D790" s="1199">
        <v>0.13015455679999999</v>
      </c>
      <c r="E790" s="1200">
        <v>0.12475183500000001</v>
      </c>
      <c r="F790" s="1200">
        <v>1.6399851999999999E-3</v>
      </c>
      <c r="G790" s="1200">
        <v>3.7627365999999998E-3</v>
      </c>
    </row>
    <row r="791" spans="1:7">
      <c r="A791" s="1893"/>
      <c r="B791" s="690" t="s">
        <v>1926</v>
      </c>
      <c r="C791" s="690" t="s">
        <v>1637</v>
      </c>
      <c r="D791" s="1199">
        <v>0.1465506503</v>
      </c>
      <c r="E791" s="1200">
        <v>0.1404673259</v>
      </c>
      <c r="F791" s="1200">
        <v>1.8465807E-3</v>
      </c>
      <c r="G791" s="1200">
        <v>4.2367437000000001E-3</v>
      </c>
    </row>
    <row r="792" spans="1:7">
      <c r="A792" s="1893"/>
      <c r="B792" s="690" t="s">
        <v>1929</v>
      </c>
      <c r="C792" s="690" t="s">
        <v>1637</v>
      </c>
      <c r="D792" s="1199">
        <v>0.16277771190000001</v>
      </c>
      <c r="E792" s="1200">
        <v>0.15602080139999999</v>
      </c>
      <c r="F792" s="1200">
        <v>2.0510464000000001E-3</v>
      </c>
      <c r="G792" s="1200">
        <v>4.7058641000000002E-3</v>
      </c>
    </row>
    <row r="793" spans="1:7">
      <c r="A793" s="1893"/>
      <c r="B793" s="690" t="s">
        <v>1641</v>
      </c>
      <c r="C793" s="690" t="s">
        <v>1637</v>
      </c>
      <c r="D793" s="1199">
        <v>0.19472473949999999</v>
      </c>
      <c r="E793" s="1200">
        <v>0.1866417064</v>
      </c>
      <c r="F793" s="1200">
        <v>2.4535882000000001E-3</v>
      </c>
      <c r="G793" s="1200">
        <v>5.6294448999999998E-3</v>
      </c>
    </row>
    <row r="794" spans="1:7">
      <c r="A794" s="1893"/>
      <c r="B794" s="1985" t="s">
        <v>1931</v>
      </c>
      <c r="C794" s="1985"/>
      <c r="D794" s="1985"/>
      <c r="E794" s="1985"/>
      <c r="F794" s="1985"/>
      <c r="G794" s="1985"/>
    </row>
    <row r="795" spans="1:7">
      <c r="A795" s="1893"/>
      <c r="B795" s="690" t="s">
        <v>1636</v>
      </c>
      <c r="C795" s="690" t="s">
        <v>1637</v>
      </c>
      <c r="D795" s="1199">
        <v>0.15725488979999999</v>
      </c>
      <c r="E795" s="1200">
        <v>0.1548345179</v>
      </c>
      <c r="F795" s="1200">
        <v>2.312983E-4</v>
      </c>
      <c r="G795" s="1200">
        <v>2.1890735999999999E-3</v>
      </c>
    </row>
    <row r="796" spans="1:7">
      <c r="A796" s="1893"/>
      <c r="B796" s="690" t="s">
        <v>1925</v>
      </c>
      <c r="C796" s="690" t="s">
        <v>1637</v>
      </c>
      <c r="D796" s="1199">
        <v>0.1513285492</v>
      </c>
      <c r="E796" s="1200">
        <v>0.1489993919</v>
      </c>
      <c r="F796" s="1200">
        <v>2.225816E-4</v>
      </c>
      <c r="G796" s="1200">
        <v>2.1065757000000001E-3</v>
      </c>
    </row>
    <row r="797" spans="1:7">
      <c r="A797" s="1893"/>
      <c r="B797" s="690" t="s">
        <v>1926</v>
      </c>
      <c r="C797" s="690" t="s">
        <v>1637</v>
      </c>
      <c r="D797" s="1199">
        <v>0.160390635</v>
      </c>
      <c r="E797" s="1200">
        <v>0.15792199949999999</v>
      </c>
      <c r="F797" s="1200">
        <v>2.359106E-4</v>
      </c>
      <c r="G797" s="1200">
        <v>2.2327249E-3</v>
      </c>
    </row>
    <row r="798" spans="1:7">
      <c r="A798" s="1893"/>
      <c r="B798" s="690" t="s">
        <v>1929</v>
      </c>
      <c r="C798" s="690" t="s">
        <v>1637</v>
      </c>
      <c r="D798" s="1199">
        <v>0.1971805368</v>
      </c>
      <c r="E798" s="1200">
        <v>0.19414565349999999</v>
      </c>
      <c r="F798" s="1200">
        <v>2.9002299999999998E-4</v>
      </c>
      <c r="G798" s="1200">
        <v>2.7448603000000001E-3</v>
      </c>
    </row>
    <row r="799" spans="1:7">
      <c r="A799" s="1893"/>
      <c r="B799" s="690" t="s">
        <v>1641</v>
      </c>
      <c r="C799" s="690" t="s">
        <v>1637</v>
      </c>
      <c r="D799" s="1199">
        <v>0.21872608639999999</v>
      </c>
      <c r="E799" s="1200">
        <v>0.21535958699999999</v>
      </c>
      <c r="F799" s="1200">
        <v>3.2171320000000002E-4</v>
      </c>
      <c r="G799" s="1200">
        <v>3.0447860999999999E-3</v>
      </c>
    </row>
    <row r="800" spans="1:7">
      <c r="A800" s="1893"/>
      <c r="B800" s="1985" t="s">
        <v>1932</v>
      </c>
      <c r="C800" s="1985"/>
      <c r="D800" s="1985"/>
      <c r="E800" s="1985"/>
      <c r="F800" s="1985"/>
      <c r="G800" s="1985"/>
    </row>
    <row r="801" spans="1:7">
      <c r="A801" s="1893"/>
      <c r="B801" s="690" t="s">
        <v>1636</v>
      </c>
      <c r="C801" s="690" t="s">
        <v>1637</v>
      </c>
      <c r="D801" s="1199">
        <v>6.5814257400000006E-2</v>
      </c>
      <c r="E801" s="1200">
        <v>6.3082304500000005E-2</v>
      </c>
      <c r="F801" s="1200">
        <v>8.2927870000000005E-4</v>
      </c>
      <c r="G801" s="1200">
        <v>1.9026742000000001E-3</v>
      </c>
    </row>
    <row r="802" spans="1:7">
      <c r="A802" s="1893"/>
      <c r="B802" s="690" t="s">
        <v>1925</v>
      </c>
      <c r="C802" s="690" t="s">
        <v>1637</v>
      </c>
      <c r="D802" s="1199">
        <v>6.8114218000000004E-2</v>
      </c>
      <c r="E802" s="1200">
        <v>6.5286793699999998E-2</v>
      </c>
      <c r="F802" s="1200">
        <v>8.5825889999999996E-4</v>
      </c>
      <c r="G802" s="1200">
        <v>1.9691654999999999E-3</v>
      </c>
    </row>
    <row r="803" spans="1:7">
      <c r="A803" s="1893"/>
      <c r="B803" s="690" t="s">
        <v>1926</v>
      </c>
      <c r="C803" s="690" t="s">
        <v>1637</v>
      </c>
      <c r="D803" s="1199">
        <v>7.6694840299999997E-2</v>
      </c>
      <c r="E803" s="1200">
        <v>7.35112339E-2</v>
      </c>
      <c r="F803" s="1200">
        <v>9.6637719999999999E-4</v>
      </c>
      <c r="G803" s="1200">
        <v>2.2172291999999999E-3</v>
      </c>
    </row>
    <row r="804" spans="1:7">
      <c r="A804" s="1893"/>
      <c r="B804" s="690" t="s">
        <v>1929</v>
      </c>
      <c r="C804" s="690" t="s">
        <v>1637</v>
      </c>
      <c r="D804" s="1199">
        <v>8.5187002600000006E-2</v>
      </c>
      <c r="E804" s="1200">
        <v>8.16508861E-2</v>
      </c>
      <c r="F804" s="1200">
        <v>1.073381E-3</v>
      </c>
      <c r="G804" s="1200">
        <v>2.4627354999999999E-3</v>
      </c>
    </row>
    <row r="805" spans="1:7">
      <c r="A805" s="1893"/>
      <c r="B805" s="690" t="s">
        <v>1641</v>
      </c>
      <c r="C805" s="690" t="s">
        <v>1637</v>
      </c>
      <c r="D805" s="1199">
        <v>0.101905947</v>
      </c>
      <c r="E805" s="1200">
        <v>9.7675826300000004E-2</v>
      </c>
      <c r="F805" s="1200">
        <v>1.2840445E-3</v>
      </c>
      <c r="G805" s="1200">
        <v>2.9460761000000002E-3</v>
      </c>
    </row>
    <row r="806" spans="1:7">
      <c r="A806" s="1893"/>
      <c r="B806" s="1985" t="s">
        <v>1933</v>
      </c>
      <c r="C806" s="1985"/>
      <c r="D806" s="1985"/>
      <c r="E806" s="1985"/>
      <c r="F806" s="1985"/>
      <c r="G806" s="1985"/>
    </row>
    <row r="807" spans="1:7">
      <c r="A807" s="1893"/>
      <c r="B807" s="690" t="s">
        <v>1636</v>
      </c>
      <c r="C807" s="690" t="s">
        <v>1637</v>
      </c>
      <c r="D807" s="1199">
        <v>6.9480784E-3</v>
      </c>
      <c r="E807" s="1200">
        <v>6.7515657E-3</v>
      </c>
      <c r="F807" s="1200">
        <v>1.8166990000000001E-4</v>
      </c>
      <c r="G807" s="1200">
        <v>1.48429E-5</v>
      </c>
    </row>
    <row r="808" spans="1:7">
      <c r="A808" s="1893"/>
      <c r="B808" s="690" t="s">
        <v>1925</v>
      </c>
      <c r="C808" s="690" t="s">
        <v>1637</v>
      </c>
      <c r="D808" s="1199">
        <v>7.1908876000000002E-3</v>
      </c>
      <c r="E808" s="1200">
        <v>6.9875075000000002E-3</v>
      </c>
      <c r="F808" s="1200">
        <v>1.8801859999999999E-4</v>
      </c>
      <c r="G808" s="1200">
        <v>1.5361599999999999E-5</v>
      </c>
    </row>
    <row r="809" spans="1:7">
      <c r="A809" s="1893"/>
      <c r="B809" s="690" t="s">
        <v>1926</v>
      </c>
      <c r="C809" s="690" t="s">
        <v>1637</v>
      </c>
      <c r="D809" s="1199">
        <v>8.0967526999999994E-3</v>
      </c>
      <c r="E809" s="1200">
        <v>7.8677519000000008E-3</v>
      </c>
      <c r="F809" s="1200">
        <v>2.11704E-4</v>
      </c>
      <c r="G809" s="1200">
        <v>1.72968E-5</v>
      </c>
    </row>
    <row r="810" spans="1:7">
      <c r="A810" s="1893"/>
      <c r="B810" s="690" t="s">
        <v>1929</v>
      </c>
      <c r="C810" s="690" t="s">
        <v>1637</v>
      </c>
      <c r="D810" s="1199">
        <v>8.9932789999999999E-3</v>
      </c>
      <c r="E810" s="1200">
        <v>8.7389217000000009E-3</v>
      </c>
      <c r="F810" s="1200">
        <v>2.3514529999999999E-4</v>
      </c>
      <c r="G810" s="1200">
        <v>1.9211999999999998E-5</v>
      </c>
    </row>
    <row r="811" spans="1:7">
      <c r="A811" s="1893"/>
      <c r="B811" s="690" t="s">
        <v>1641</v>
      </c>
      <c r="C811" s="690" t="s">
        <v>1637</v>
      </c>
      <c r="D811" s="1199">
        <v>1.0758314999999999E-2</v>
      </c>
      <c r="E811" s="1200">
        <v>1.0454037100000001E-2</v>
      </c>
      <c r="F811" s="1200">
        <v>2.8129529999999998E-4</v>
      </c>
      <c r="G811" s="1200">
        <v>2.2982599999999999E-5</v>
      </c>
    </row>
    <row r="812" spans="1:7">
      <c r="A812" s="1893"/>
      <c r="B812" s="1985" t="s">
        <v>1934</v>
      </c>
      <c r="C812" s="1985"/>
      <c r="D812" s="1985"/>
      <c r="E812" s="1985"/>
      <c r="F812" s="1985"/>
      <c r="G812" s="1985"/>
    </row>
    <row r="813" spans="1:7">
      <c r="A813" s="1893"/>
      <c r="B813" s="690" t="s">
        <v>1636</v>
      </c>
      <c r="C813" s="690" t="s">
        <v>1637</v>
      </c>
      <c r="D813" s="1199">
        <v>8.2296725700000004E-2</v>
      </c>
      <c r="E813" s="1200">
        <v>8.1030064400000004E-2</v>
      </c>
      <c r="F813" s="1200">
        <v>1.210461E-4</v>
      </c>
      <c r="G813" s="1200">
        <v>1.1456152000000001E-3</v>
      </c>
    </row>
    <row r="814" spans="1:7">
      <c r="A814" s="1893"/>
      <c r="B814" s="690" t="s">
        <v>1925</v>
      </c>
      <c r="C814" s="690" t="s">
        <v>1637</v>
      </c>
      <c r="D814" s="1199">
        <v>7.9195274100000004E-2</v>
      </c>
      <c r="E814" s="1200">
        <v>7.7976348400000006E-2</v>
      </c>
      <c r="F814" s="1200">
        <v>1.1648440000000001E-4</v>
      </c>
      <c r="G814" s="1200">
        <v>1.1024412999999999E-3</v>
      </c>
    </row>
    <row r="815" spans="1:7">
      <c r="A815" s="1893"/>
      <c r="B815" s="690" t="s">
        <v>1926</v>
      </c>
      <c r="C815" s="690" t="s">
        <v>1637</v>
      </c>
      <c r="D815" s="1199">
        <v>8.3937765600000006E-2</v>
      </c>
      <c r="E815" s="1200">
        <v>8.26458464E-2</v>
      </c>
      <c r="F815" s="1200">
        <v>1.2345990000000001E-4</v>
      </c>
      <c r="G815" s="1200">
        <v>1.1684594000000001E-3</v>
      </c>
    </row>
    <row r="816" spans="1:7">
      <c r="A816" s="1893"/>
      <c r="B816" s="690" t="s">
        <v>1929</v>
      </c>
      <c r="C816" s="690" t="s">
        <v>1637</v>
      </c>
      <c r="D816" s="1199">
        <v>0.1031911476</v>
      </c>
      <c r="E816" s="1200">
        <v>0.101602892</v>
      </c>
      <c r="F816" s="1200">
        <v>1.517787E-4</v>
      </c>
      <c r="G816" s="1200">
        <v>1.4364769E-3</v>
      </c>
    </row>
    <row r="817" spans="1:7">
      <c r="A817" s="1893"/>
      <c r="B817" s="690" t="s">
        <v>1641</v>
      </c>
      <c r="C817" s="690" t="s">
        <v>1637</v>
      </c>
      <c r="D817" s="1199">
        <v>0.11446665189999999</v>
      </c>
      <c r="E817" s="1200">
        <v>0.1127048505</v>
      </c>
      <c r="F817" s="1200">
        <v>1.6836330000000001E-4</v>
      </c>
      <c r="G817" s="1200">
        <v>1.5934381E-3</v>
      </c>
    </row>
    <row r="818" spans="1:7">
      <c r="A818" s="1893"/>
      <c r="B818" s="1985" t="s">
        <v>1935</v>
      </c>
      <c r="C818" s="1985"/>
      <c r="D818" s="1985"/>
      <c r="E818" s="1985"/>
      <c r="F818" s="1985"/>
      <c r="G818" s="1985"/>
    </row>
    <row r="819" spans="1:7">
      <c r="A819" s="1893"/>
      <c r="B819" s="690" t="s">
        <v>1636</v>
      </c>
      <c r="C819" s="690" t="s">
        <v>1637</v>
      </c>
      <c r="D819" s="1199">
        <v>7.5781683000000002E-3</v>
      </c>
      <c r="E819" s="1200">
        <v>7.3638347000000003E-3</v>
      </c>
      <c r="F819" s="1200">
        <v>1.981447E-4</v>
      </c>
      <c r="G819" s="1200">
        <v>1.61889E-5</v>
      </c>
    </row>
    <row r="820" spans="1:7">
      <c r="A820" s="1893"/>
      <c r="B820" s="690" t="s">
        <v>1925</v>
      </c>
      <c r="C820" s="690" t="s">
        <v>1637</v>
      </c>
      <c r="D820" s="1199">
        <v>7.2785790999999999E-3</v>
      </c>
      <c r="E820" s="1200">
        <v>7.0727187999999998E-3</v>
      </c>
      <c r="F820" s="1200">
        <v>1.903114E-4</v>
      </c>
      <c r="G820" s="1200">
        <v>1.5548899999999999E-5</v>
      </c>
    </row>
    <row r="821" spans="1:7">
      <c r="A821" s="1893"/>
      <c r="B821" s="690" t="s">
        <v>1926</v>
      </c>
      <c r="C821" s="690" t="s">
        <v>1637</v>
      </c>
      <c r="D821" s="1199">
        <v>7.9750679000000005E-3</v>
      </c>
      <c r="E821" s="1200">
        <v>7.7495087999999998E-3</v>
      </c>
      <c r="F821" s="1200">
        <v>2.0852239999999999E-4</v>
      </c>
      <c r="G821" s="1200">
        <v>1.7036799999999999E-5</v>
      </c>
    </row>
    <row r="822" spans="1:7">
      <c r="A822" s="1893"/>
      <c r="B822" s="690" t="s">
        <v>1929</v>
      </c>
      <c r="C822" s="690" t="s">
        <v>1637</v>
      </c>
      <c r="D822" s="1199">
        <v>9.0266184999999999E-3</v>
      </c>
      <c r="E822" s="1200">
        <v>8.7713183000000007E-3</v>
      </c>
      <c r="F822" s="1200">
        <v>2.3601699999999999E-4</v>
      </c>
      <c r="G822" s="1200">
        <v>1.9283199999999999E-5</v>
      </c>
    </row>
    <row r="823" spans="1:7">
      <c r="A823" s="1893"/>
      <c r="B823" s="690" t="s">
        <v>1641</v>
      </c>
      <c r="C823" s="690" t="s">
        <v>1637</v>
      </c>
      <c r="D823" s="1199">
        <v>1.0676133399999999E-2</v>
      </c>
      <c r="E823" s="1200">
        <v>1.0374179900000001E-2</v>
      </c>
      <c r="F823" s="1200">
        <v>2.7914649999999998E-4</v>
      </c>
      <c r="G823" s="1200">
        <v>2.2807E-5</v>
      </c>
    </row>
    <row r="824" spans="1:7">
      <c r="A824" s="1893"/>
      <c r="B824" s="1985" t="s">
        <v>1936</v>
      </c>
      <c r="C824" s="1985"/>
      <c r="D824" s="1985"/>
      <c r="E824" s="1985"/>
      <c r="F824" s="1985"/>
      <c r="G824" s="1985"/>
    </row>
    <row r="825" spans="1:7">
      <c r="A825" s="1893"/>
      <c r="B825" s="690" t="s">
        <v>1636</v>
      </c>
      <c r="C825" s="690" t="s">
        <v>1637</v>
      </c>
      <c r="D825" s="1199">
        <v>1.4576388399999999E-2</v>
      </c>
      <c r="E825" s="1200">
        <v>1.41641237E-2</v>
      </c>
      <c r="F825" s="1200">
        <v>3.811256E-4</v>
      </c>
      <c r="G825" s="1200">
        <v>3.1139000000000001E-5</v>
      </c>
    </row>
    <row r="826" spans="1:7">
      <c r="A826" s="1893"/>
      <c r="B826" s="690" t="s">
        <v>1925</v>
      </c>
      <c r="C826" s="690" t="s">
        <v>1637</v>
      </c>
      <c r="D826" s="1199">
        <v>1.50857783E-2</v>
      </c>
      <c r="E826" s="1200">
        <v>1.4659106599999999E-2</v>
      </c>
      <c r="F826" s="1200">
        <v>3.9444449999999999E-4</v>
      </c>
      <c r="G826" s="1200">
        <v>3.2227200000000002E-5</v>
      </c>
    </row>
    <row r="827" spans="1:7">
      <c r="A827" s="1893"/>
      <c r="B827" s="690" t="s">
        <v>1926</v>
      </c>
      <c r="C827" s="690" t="s">
        <v>1637</v>
      </c>
      <c r="D827" s="1199">
        <v>1.6986194499999999E-2</v>
      </c>
      <c r="E827" s="1200">
        <v>1.6505773200000001E-2</v>
      </c>
      <c r="F827" s="1200">
        <v>4.4413429999999999E-4</v>
      </c>
      <c r="G827" s="1200">
        <v>3.62869E-5</v>
      </c>
    </row>
    <row r="828" spans="1:7">
      <c r="A828" s="1893"/>
      <c r="B828" s="690" t="s">
        <v>1929</v>
      </c>
      <c r="C828" s="690" t="s">
        <v>1637</v>
      </c>
      <c r="D828" s="1199">
        <v>1.88670188E-2</v>
      </c>
      <c r="E828" s="1200">
        <v>1.83334021E-2</v>
      </c>
      <c r="F828" s="1200">
        <v>4.9331180000000002E-4</v>
      </c>
      <c r="G828" s="1200">
        <v>4.0304900000000001E-5</v>
      </c>
    </row>
    <row r="829" spans="1:7">
      <c r="A829" s="1893"/>
      <c r="B829" s="690" t="s">
        <v>1641</v>
      </c>
      <c r="C829" s="690" t="s">
        <v>1637</v>
      </c>
      <c r="D829" s="1199">
        <v>2.2569891599999999E-2</v>
      </c>
      <c r="E829" s="1200">
        <v>2.1931546400000002E-2</v>
      </c>
      <c r="F829" s="1200">
        <v>5.9013000000000002E-4</v>
      </c>
      <c r="G829" s="1200">
        <v>4.8215199999999999E-5</v>
      </c>
    </row>
    <row r="830" spans="1:7">
      <c r="A830" s="1893"/>
      <c r="B830" s="1985" t="s">
        <v>1937</v>
      </c>
      <c r="C830" s="1985"/>
      <c r="D830" s="1985"/>
      <c r="E830" s="1985"/>
      <c r="F830" s="1985"/>
      <c r="G830" s="1985"/>
    </row>
    <row r="831" spans="1:7">
      <c r="A831" s="1893"/>
      <c r="B831" s="690" t="s">
        <v>1938</v>
      </c>
      <c r="C831" s="690" t="s">
        <v>1637</v>
      </c>
      <c r="D831" s="1199">
        <v>5.64877596E-2</v>
      </c>
      <c r="E831" s="1200">
        <v>5.4142950099999997E-2</v>
      </c>
      <c r="F831" s="1200">
        <v>7.1176219999999997E-4</v>
      </c>
      <c r="G831" s="1200">
        <v>1.6330474E-3</v>
      </c>
    </row>
    <row r="832" spans="1:7">
      <c r="A832" s="1893"/>
      <c r="B832" s="690" t="s">
        <v>1939</v>
      </c>
      <c r="C832" s="690" t="s">
        <v>1637</v>
      </c>
      <c r="D832" s="1199">
        <v>0.11297551929999999</v>
      </c>
      <c r="E832" s="1200">
        <v>0.1082859001</v>
      </c>
      <c r="F832" s="1200">
        <v>1.4235242999999999E-3</v>
      </c>
      <c r="G832" s="1200">
        <v>3.2660948E-3</v>
      </c>
    </row>
    <row r="833" spans="1:7">
      <c r="A833" s="1893"/>
      <c r="B833" s="690" t="s">
        <v>1940</v>
      </c>
      <c r="C833" s="690" t="s">
        <v>1637</v>
      </c>
      <c r="D833" s="1199">
        <v>3.7151511999999999E-3</v>
      </c>
      <c r="E833" s="1200">
        <v>3.6100754000000001E-3</v>
      </c>
      <c r="F833" s="1200">
        <v>9.7139200000000007E-5</v>
      </c>
      <c r="G833" s="1200">
        <v>7.9364999999999993E-6</v>
      </c>
    </row>
    <row r="834" spans="1:7">
      <c r="A834" s="1893"/>
      <c r="B834" s="690" t="s">
        <v>1941</v>
      </c>
      <c r="C834" s="690" t="s">
        <v>1637</v>
      </c>
      <c r="D834" s="1199">
        <v>7.4303023000000003E-3</v>
      </c>
      <c r="E834" s="1200">
        <v>7.2201508000000001E-3</v>
      </c>
      <c r="F834" s="1200">
        <v>1.9427849999999999E-4</v>
      </c>
      <c r="G834" s="1200">
        <v>1.5873099999999999E-5</v>
      </c>
    </row>
    <row r="835" spans="1:7">
      <c r="A835" s="167"/>
    </row>
    <row r="836" spans="1:7">
      <c r="A836" s="1891" t="s">
        <v>1942</v>
      </c>
      <c r="B836" s="1891"/>
      <c r="C836" s="1891"/>
      <c r="D836" s="1891"/>
      <c r="E836" s="1891"/>
      <c r="F836" s="1891"/>
    </row>
    <row r="837" spans="1:7">
      <c r="A837" s="1892" t="s">
        <v>1613</v>
      </c>
      <c r="B837" s="1892"/>
      <c r="C837" s="689" t="s">
        <v>1340</v>
      </c>
      <c r="D837" s="689" t="s">
        <v>1107</v>
      </c>
      <c r="E837" s="689" t="s">
        <v>1943</v>
      </c>
      <c r="F837" s="689" t="s">
        <v>1944</v>
      </c>
    </row>
    <row r="838" spans="1:7">
      <c r="A838" s="1893" t="s">
        <v>1945</v>
      </c>
      <c r="B838" s="690" t="s">
        <v>185</v>
      </c>
      <c r="C838" s="690" t="s">
        <v>1946</v>
      </c>
      <c r="D838" s="691">
        <v>50</v>
      </c>
      <c r="E838" s="690" t="s">
        <v>1947</v>
      </c>
      <c r="F838" s="690" t="s">
        <v>1682</v>
      </c>
    </row>
    <row r="839" spans="1:7">
      <c r="A839" s="1893"/>
      <c r="B839" s="690" t="s">
        <v>1108</v>
      </c>
      <c r="C839" s="690" t="s">
        <v>1946</v>
      </c>
      <c r="D839" s="691">
        <v>38.9</v>
      </c>
      <c r="E839" s="690" t="s">
        <v>1947</v>
      </c>
      <c r="F839" s="690" t="s">
        <v>1682</v>
      </c>
    </row>
    <row r="840" spans="1:7">
      <c r="A840" s="1893"/>
      <c r="B840" s="690" t="s">
        <v>1109</v>
      </c>
      <c r="C840" s="690" t="s">
        <v>1946</v>
      </c>
      <c r="D840" s="691">
        <v>11.9</v>
      </c>
      <c r="E840" s="690" t="s">
        <v>1947</v>
      </c>
      <c r="F840" s="690" t="s">
        <v>1682</v>
      </c>
    </row>
    <row r="841" spans="1:7">
      <c r="A841" s="1893"/>
      <c r="B841" s="690" t="s">
        <v>1110</v>
      </c>
      <c r="C841" s="690" t="s">
        <v>1946</v>
      </c>
      <c r="D841" s="691">
        <v>11.6</v>
      </c>
      <c r="E841" s="690" t="s">
        <v>1947</v>
      </c>
      <c r="F841" s="690" t="s">
        <v>1682</v>
      </c>
    </row>
    <row r="842" spans="1:7">
      <c r="A842" s="1893"/>
      <c r="B842" s="690" t="s">
        <v>1111</v>
      </c>
      <c r="C842" s="690" t="s">
        <v>1946</v>
      </c>
      <c r="D842" s="691">
        <v>14.9</v>
      </c>
      <c r="E842" s="690" t="s">
        <v>1947</v>
      </c>
      <c r="F842" s="690" t="s">
        <v>1682</v>
      </c>
    </row>
    <row r="843" spans="1:7">
      <c r="A843" s="1893"/>
      <c r="B843" s="690" t="s">
        <v>1112</v>
      </c>
      <c r="C843" s="690" t="s">
        <v>1946</v>
      </c>
      <c r="D843" s="691">
        <v>17.100000000000001</v>
      </c>
      <c r="E843" s="690" t="s">
        <v>1947</v>
      </c>
      <c r="F843" s="690" t="s">
        <v>1682</v>
      </c>
    </row>
    <row r="844" spans="1:7">
      <c r="A844" s="1893"/>
      <c r="B844" s="690" t="s">
        <v>1113</v>
      </c>
      <c r="C844" s="690" t="s">
        <v>1946</v>
      </c>
      <c r="D844" s="691">
        <v>61.1</v>
      </c>
      <c r="E844" s="690" t="s">
        <v>1947</v>
      </c>
      <c r="F844" s="690" t="s">
        <v>1682</v>
      </c>
    </row>
    <row r="845" spans="1:7">
      <c r="A845" s="1893"/>
      <c r="B845" s="690" t="s">
        <v>722</v>
      </c>
      <c r="C845" s="690" t="s">
        <v>1946</v>
      </c>
      <c r="D845" s="691">
        <v>30.8</v>
      </c>
      <c r="E845" s="690" t="s">
        <v>1947</v>
      </c>
      <c r="F845" s="690" t="s">
        <v>1682</v>
      </c>
    </row>
    <row r="846" spans="1:7">
      <c r="A846" s="1893"/>
      <c r="B846" s="690" t="s">
        <v>1114</v>
      </c>
      <c r="C846" s="690" t="s">
        <v>1946</v>
      </c>
      <c r="D846" s="691">
        <v>60.7</v>
      </c>
      <c r="E846" s="690" t="s">
        <v>1947</v>
      </c>
      <c r="F846" s="690" t="s">
        <v>1682</v>
      </c>
    </row>
    <row r="847" spans="1:7">
      <c r="A847" s="1893"/>
      <c r="B847" s="690" t="s">
        <v>1115</v>
      </c>
      <c r="C847" s="690" t="s">
        <v>1946</v>
      </c>
      <c r="D847" s="691">
        <v>11</v>
      </c>
      <c r="E847" s="690" t="s">
        <v>1947</v>
      </c>
      <c r="F847" s="690" t="s">
        <v>1682</v>
      </c>
    </row>
    <row r="848" spans="1:7">
      <c r="A848" s="1893"/>
      <c r="B848" s="690" t="s">
        <v>1116</v>
      </c>
      <c r="C848" s="690" t="s">
        <v>1946</v>
      </c>
      <c r="D848" s="691">
        <v>7</v>
      </c>
      <c r="E848" s="690" t="s">
        <v>1947</v>
      </c>
      <c r="F848" s="690" t="s">
        <v>1682</v>
      </c>
    </row>
    <row r="849" spans="1:6">
      <c r="A849" s="1893"/>
      <c r="B849" s="690" t="s">
        <v>1117</v>
      </c>
      <c r="C849" s="690" t="s">
        <v>1946</v>
      </c>
      <c r="D849" s="691">
        <v>31.8</v>
      </c>
      <c r="E849" s="690" t="s">
        <v>1947</v>
      </c>
      <c r="F849" s="690" t="s">
        <v>1682</v>
      </c>
    </row>
    <row r="850" spans="1:6">
      <c r="A850" s="1893"/>
      <c r="B850" s="690" t="s">
        <v>1118</v>
      </c>
      <c r="C850" s="690" t="s">
        <v>1946</v>
      </c>
      <c r="D850" s="691">
        <v>54</v>
      </c>
      <c r="E850" s="690" t="s">
        <v>1947</v>
      </c>
      <c r="F850" s="690" t="s">
        <v>1682</v>
      </c>
    </row>
    <row r="851" spans="1:6">
      <c r="A851" s="1893"/>
      <c r="B851" s="690" t="s">
        <v>1119</v>
      </c>
      <c r="C851" s="690" t="s">
        <v>1946</v>
      </c>
      <c r="D851" s="691">
        <v>54.8</v>
      </c>
      <c r="E851" s="690" t="s">
        <v>1947</v>
      </c>
      <c r="F851" s="690" t="s">
        <v>1682</v>
      </c>
    </row>
    <row r="852" spans="1:6">
      <c r="A852" s="1893"/>
      <c r="B852" s="690" t="s">
        <v>1120</v>
      </c>
      <c r="C852" s="690" t="s">
        <v>1946</v>
      </c>
      <c r="D852" s="691">
        <v>11.1</v>
      </c>
      <c r="E852" s="690" t="s">
        <v>1947</v>
      </c>
      <c r="F852" s="690" t="s">
        <v>1682</v>
      </c>
    </row>
    <row r="853" spans="1:6">
      <c r="A853" s="1893"/>
      <c r="B853" s="690" t="s">
        <v>1121</v>
      </c>
      <c r="C853" s="690" t="s">
        <v>1946</v>
      </c>
      <c r="D853" s="691">
        <v>7.5</v>
      </c>
      <c r="E853" s="690" t="s">
        <v>1947</v>
      </c>
      <c r="F853" s="690" t="s">
        <v>1682</v>
      </c>
    </row>
    <row r="854" spans="1:6">
      <c r="A854" s="1893"/>
      <c r="B854" s="690" t="s">
        <v>1122</v>
      </c>
      <c r="C854" s="690" t="s">
        <v>1946</v>
      </c>
      <c r="D854" s="691">
        <v>18.2</v>
      </c>
      <c r="E854" s="690" t="s">
        <v>1947</v>
      </c>
      <c r="F854" s="690" t="s">
        <v>1682</v>
      </c>
    </row>
    <row r="855" spans="1:6">
      <c r="A855" s="1893"/>
      <c r="B855" s="690" t="s">
        <v>1123</v>
      </c>
      <c r="C855" s="690" t="s">
        <v>1946</v>
      </c>
      <c r="D855" s="691">
        <v>42.8</v>
      </c>
      <c r="E855" s="690" t="s">
        <v>1947</v>
      </c>
      <c r="F855" s="690" t="s">
        <v>1682</v>
      </c>
    </row>
    <row r="856" spans="1:6">
      <c r="A856" s="1893"/>
      <c r="B856" s="690" t="s">
        <v>1124</v>
      </c>
      <c r="C856" s="690" t="s">
        <v>1946</v>
      </c>
      <c r="D856" s="691">
        <v>66.2</v>
      </c>
      <c r="E856" s="690" t="s">
        <v>1947</v>
      </c>
      <c r="F856" s="690" t="s">
        <v>1682</v>
      </c>
    </row>
    <row r="857" spans="1:6">
      <c r="A857" s="1893"/>
      <c r="B857" s="690" t="s">
        <v>1125</v>
      </c>
      <c r="C857" s="690" t="s">
        <v>1946</v>
      </c>
      <c r="D857" s="691">
        <v>22</v>
      </c>
      <c r="E857" s="690" t="s">
        <v>1947</v>
      </c>
      <c r="F857" s="690" t="s">
        <v>1682</v>
      </c>
    </row>
    <row r="858" spans="1:6">
      <c r="A858" s="1893"/>
      <c r="B858" s="690" t="s">
        <v>1126</v>
      </c>
      <c r="C858" s="690" t="s">
        <v>1946</v>
      </c>
      <c r="D858" s="691">
        <v>66</v>
      </c>
      <c r="E858" s="690" t="s">
        <v>1947</v>
      </c>
      <c r="F858" s="690" t="s">
        <v>1682</v>
      </c>
    </row>
    <row r="859" spans="1:6">
      <c r="A859" s="1893"/>
      <c r="B859" s="690" t="s">
        <v>1127</v>
      </c>
      <c r="C859" s="690" t="s">
        <v>1946</v>
      </c>
      <c r="D859" s="691">
        <v>88.2</v>
      </c>
      <c r="E859" s="690" t="s">
        <v>1947</v>
      </c>
      <c r="F859" s="690" t="s">
        <v>1682</v>
      </c>
    </row>
    <row r="860" spans="1:6">
      <c r="A860" s="1893"/>
      <c r="B860" s="690" t="s">
        <v>1128</v>
      </c>
      <c r="C860" s="690" t="s">
        <v>1946</v>
      </c>
      <c r="D860" s="691">
        <v>23.9</v>
      </c>
      <c r="E860" s="690" t="s">
        <v>1947</v>
      </c>
      <c r="F860" s="690" t="s">
        <v>1682</v>
      </c>
    </row>
    <row r="861" spans="1:6">
      <c r="A861" s="1893"/>
      <c r="B861" s="690" t="s">
        <v>1129</v>
      </c>
      <c r="C861" s="690" t="s">
        <v>1946</v>
      </c>
      <c r="D861" s="691">
        <v>51.8</v>
      </c>
      <c r="E861" s="690" t="s">
        <v>1947</v>
      </c>
      <c r="F861" s="690" t="s">
        <v>1682</v>
      </c>
    </row>
    <row r="862" spans="1:6">
      <c r="A862" s="1893"/>
      <c r="B862" s="690" t="s">
        <v>1130</v>
      </c>
      <c r="C862" s="690" t="s">
        <v>1946</v>
      </c>
      <c r="D862" s="691">
        <v>23.9</v>
      </c>
      <c r="E862" s="690" t="s">
        <v>1947</v>
      </c>
      <c r="F862" s="690" t="s">
        <v>1682</v>
      </c>
    </row>
    <row r="863" spans="1:6">
      <c r="A863" s="1893"/>
      <c r="B863" s="690" t="s">
        <v>1131</v>
      </c>
      <c r="C863" s="690" t="s">
        <v>1946</v>
      </c>
      <c r="D863" s="691">
        <v>54.7</v>
      </c>
      <c r="E863" s="690" t="s">
        <v>1947</v>
      </c>
      <c r="F863" s="690" t="s">
        <v>1682</v>
      </c>
    </row>
    <row r="864" spans="1:6">
      <c r="A864" s="1893"/>
      <c r="B864" s="690" t="s">
        <v>1132</v>
      </c>
      <c r="C864" s="690" t="s">
        <v>1946</v>
      </c>
      <c r="D864" s="691">
        <v>64.5</v>
      </c>
      <c r="E864" s="690" t="s">
        <v>1947</v>
      </c>
      <c r="F864" s="690" t="s">
        <v>1682</v>
      </c>
    </row>
    <row r="865" spans="1:6">
      <c r="A865" s="1893"/>
      <c r="B865" s="690" t="s">
        <v>1133</v>
      </c>
      <c r="C865" s="690" t="s">
        <v>1946</v>
      </c>
      <c r="D865" s="691">
        <v>105.7</v>
      </c>
      <c r="E865" s="690" t="s">
        <v>1947</v>
      </c>
      <c r="F865" s="690" t="s">
        <v>1682</v>
      </c>
    </row>
    <row r="866" spans="1:6">
      <c r="A866" s="1893"/>
      <c r="B866" s="690" t="s">
        <v>1134</v>
      </c>
      <c r="C866" s="690" t="s">
        <v>1946</v>
      </c>
      <c r="D866" s="691">
        <v>68.099999999999994</v>
      </c>
      <c r="E866" s="690" t="s">
        <v>1947</v>
      </c>
      <c r="F866" s="690" t="s">
        <v>1682</v>
      </c>
    </row>
    <row r="867" spans="1:6">
      <c r="A867" s="1893"/>
      <c r="B867" s="690" t="s">
        <v>1135</v>
      </c>
      <c r="C867" s="690" t="s">
        <v>1946</v>
      </c>
      <c r="D867" s="691">
        <v>80.3</v>
      </c>
      <c r="E867" s="690" t="s">
        <v>1947</v>
      </c>
      <c r="F867" s="690" t="s">
        <v>1682</v>
      </c>
    </row>
    <row r="868" spans="1:6">
      <c r="A868" s="1893"/>
      <c r="B868" s="690" t="s">
        <v>1136</v>
      </c>
      <c r="C868" s="690" t="s">
        <v>1946</v>
      </c>
      <c r="D868" s="691">
        <v>176.5</v>
      </c>
      <c r="E868" s="690" t="s">
        <v>1947</v>
      </c>
      <c r="F868" s="690" t="s">
        <v>1682</v>
      </c>
    </row>
    <row r="869" spans="1:6">
      <c r="A869" s="1893"/>
      <c r="B869" s="690" t="s">
        <v>1137</v>
      </c>
      <c r="C869" s="690" t="s">
        <v>1946</v>
      </c>
      <c r="D869" s="691">
        <v>27</v>
      </c>
      <c r="E869" s="690" t="s">
        <v>1947</v>
      </c>
      <c r="F869" s="690" t="s">
        <v>1682</v>
      </c>
    </row>
    <row r="870" spans="1:6">
      <c r="A870" s="1893"/>
      <c r="B870" s="690" t="s">
        <v>1138</v>
      </c>
      <c r="C870" s="690" t="s">
        <v>1946</v>
      </c>
      <c r="D870" s="691">
        <v>104</v>
      </c>
      <c r="E870" s="690" t="s">
        <v>1947</v>
      </c>
      <c r="F870" s="690" t="s">
        <v>1682</v>
      </c>
    </row>
    <row r="871" spans="1:6">
      <c r="A871" s="1893"/>
      <c r="B871" s="690" t="s">
        <v>1139</v>
      </c>
      <c r="C871" s="690" t="s">
        <v>1946</v>
      </c>
      <c r="D871" s="691">
        <v>21.2</v>
      </c>
      <c r="E871" s="690" t="s">
        <v>1947</v>
      </c>
      <c r="F871" s="690" t="s">
        <v>1682</v>
      </c>
    </row>
    <row r="872" spans="1:6">
      <c r="A872" s="1893"/>
      <c r="B872" s="690" t="s">
        <v>1140</v>
      </c>
      <c r="C872" s="690" t="s">
        <v>1946</v>
      </c>
      <c r="D872" s="691">
        <v>9.4</v>
      </c>
      <c r="E872" s="690" t="s">
        <v>1947</v>
      </c>
      <c r="F872" s="690" t="s">
        <v>1682</v>
      </c>
    </row>
    <row r="873" spans="1:6">
      <c r="A873" s="1893"/>
      <c r="B873" s="690" t="s">
        <v>1141</v>
      </c>
      <c r="C873" s="690" t="s">
        <v>1946</v>
      </c>
      <c r="D873" s="691">
        <v>117.3</v>
      </c>
      <c r="E873" s="690" t="s">
        <v>1947</v>
      </c>
      <c r="F873" s="690" t="s">
        <v>1682</v>
      </c>
    </row>
    <row r="874" spans="1:6">
      <c r="A874" s="1893"/>
      <c r="B874" s="690" t="s">
        <v>1142</v>
      </c>
      <c r="C874" s="690" t="s">
        <v>1946</v>
      </c>
      <c r="D874" s="691">
        <v>23.7</v>
      </c>
      <c r="E874" s="690" t="s">
        <v>1947</v>
      </c>
      <c r="F874" s="690" t="s">
        <v>1682</v>
      </c>
    </row>
    <row r="875" spans="1:6">
      <c r="A875" s="1893"/>
      <c r="B875" s="690" t="s">
        <v>723</v>
      </c>
      <c r="C875" s="690" t="s">
        <v>1946</v>
      </c>
      <c r="D875" s="691">
        <v>29.9</v>
      </c>
      <c r="E875" s="690" t="s">
        <v>1947</v>
      </c>
      <c r="F875" s="690" t="s">
        <v>1682</v>
      </c>
    </row>
    <row r="876" spans="1:6">
      <c r="A876" s="1893"/>
      <c r="B876" s="690" t="s">
        <v>1143</v>
      </c>
      <c r="C876" s="690" t="s">
        <v>1946</v>
      </c>
      <c r="D876" s="691">
        <v>62.9</v>
      </c>
      <c r="E876" s="690" t="s">
        <v>1947</v>
      </c>
      <c r="F876" s="690" t="s">
        <v>1682</v>
      </c>
    </row>
    <row r="877" spans="1:6">
      <c r="A877" s="1893"/>
      <c r="B877" s="690" t="s">
        <v>1144</v>
      </c>
      <c r="C877" s="690" t="s">
        <v>1946</v>
      </c>
      <c r="D877" s="691">
        <v>35.799999999999997</v>
      </c>
      <c r="E877" s="690" t="s">
        <v>1947</v>
      </c>
      <c r="F877" s="690" t="s">
        <v>1682</v>
      </c>
    </row>
    <row r="878" spans="1:6">
      <c r="A878" s="1893"/>
      <c r="B878" s="690" t="s">
        <v>1145</v>
      </c>
      <c r="C878" s="690" t="s">
        <v>1946</v>
      </c>
      <c r="D878" s="691">
        <v>27.2</v>
      </c>
      <c r="E878" s="690" t="s">
        <v>1947</v>
      </c>
      <c r="F878" s="690" t="s">
        <v>1682</v>
      </c>
    </row>
    <row r="879" spans="1:6">
      <c r="A879" s="1893"/>
      <c r="B879" s="690" t="s">
        <v>1146</v>
      </c>
      <c r="C879" s="690" t="s">
        <v>1946</v>
      </c>
      <c r="D879" s="691">
        <v>104.9</v>
      </c>
      <c r="E879" s="690" t="s">
        <v>1947</v>
      </c>
      <c r="F879" s="690" t="s">
        <v>1682</v>
      </c>
    </row>
    <row r="880" spans="1:6">
      <c r="A880" s="1893"/>
      <c r="B880" s="690" t="s">
        <v>1147</v>
      </c>
      <c r="C880" s="690" t="s">
        <v>1946</v>
      </c>
      <c r="D880" s="691">
        <v>25.5</v>
      </c>
      <c r="E880" s="690" t="s">
        <v>1947</v>
      </c>
      <c r="F880" s="690" t="s">
        <v>1682</v>
      </c>
    </row>
    <row r="881" spans="1:17">
      <c r="A881" s="1893"/>
      <c r="B881" s="690" t="s">
        <v>1148</v>
      </c>
      <c r="C881" s="690" t="s">
        <v>1946</v>
      </c>
      <c r="D881" s="691">
        <v>30.9</v>
      </c>
      <c r="E881" s="690" t="s">
        <v>1947</v>
      </c>
      <c r="F881" s="690" t="s">
        <v>1682</v>
      </c>
    </row>
    <row r="882" spans="1:17">
      <c r="A882" s="1893"/>
      <c r="B882" s="690" t="s">
        <v>1149</v>
      </c>
      <c r="C882" s="690" t="s">
        <v>1946</v>
      </c>
      <c r="D882" s="691">
        <v>112.5</v>
      </c>
      <c r="E882" s="690" t="s">
        <v>1947</v>
      </c>
      <c r="F882" s="690" t="s">
        <v>1682</v>
      </c>
    </row>
    <row r="883" spans="1:17">
      <c r="A883" s="1893"/>
      <c r="B883" s="690" t="s">
        <v>1150</v>
      </c>
      <c r="C883" s="690" t="s">
        <v>1946</v>
      </c>
      <c r="D883" s="691">
        <v>28.5</v>
      </c>
      <c r="E883" s="690" t="s">
        <v>1947</v>
      </c>
      <c r="F883" s="690" t="s">
        <v>1682</v>
      </c>
    </row>
    <row r="884" spans="1:17">
      <c r="A884" s="1893"/>
      <c r="B884" s="690" t="s">
        <v>1151</v>
      </c>
      <c r="C884" s="690" t="s">
        <v>1946</v>
      </c>
      <c r="D884" s="691">
        <v>56.6</v>
      </c>
      <c r="E884" s="690" t="s">
        <v>1947</v>
      </c>
      <c r="F884" s="690" t="s">
        <v>1682</v>
      </c>
    </row>
    <row r="885" spans="1:17">
      <c r="A885" s="1893"/>
      <c r="B885" s="690" t="s">
        <v>1152</v>
      </c>
      <c r="C885" s="690" t="s">
        <v>1946</v>
      </c>
      <c r="D885" s="691">
        <v>56.5</v>
      </c>
      <c r="E885" s="690" t="s">
        <v>1947</v>
      </c>
      <c r="F885" s="690" t="s">
        <v>1682</v>
      </c>
    </row>
    <row r="886" spans="1:17">
      <c r="A886" s="1893"/>
      <c r="B886" s="690" t="s">
        <v>1153</v>
      </c>
      <c r="C886" s="690" t="s">
        <v>1946</v>
      </c>
      <c r="D886" s="691">
        <v>16.3</v>
      </c>
      <c r="E886" s="690" t="s">
        <v>1947</v>
      </c>
      <c r="F886" s="690" t="s">
        <v>1682</v>
      </c>
    </row>
    <row r="887" spans="1:17">
      <c r="A887" s="1893"/>
      <c r="B887" s="690" t="s">
        <v>1154</v>
      </c>
      <c r="C887" s="690" t="s">
        <v>1946</v>
      </c>
      <c r="D887" s="691">
        <v>7.4</v>
      </c>
      <c r="E887" s="690" t="s">
        <v>1947</v>
      </c>
      <c r="F887" s="690" t="s">
        <v>1682</v>
      </c>
    </row>
    <row r="888" spans="1:17">
      <c r="A888" s="1893"/>
      <c r="B888" s="690" t="s">
        <v>1155</v>
      </c>
      <c r="C888" s="690" t="s">
        <v>1946</v>
      </c>
      <c r="D888" s="691">
        <v>55.9</v>
      </c>
      <c r="E888" s="690" t="s">
        <v>1947</v>
      </c>
      <c r="F888" s="690" t="s">
        <v>1682</v>
      </c>
    </row>
    <row r="889" spans="1:17">
      <c r="A889" s="1893"/>
      <c r="B889" s="690" t="s">
        <v>1156</v>
      </c>
      <c r="C889" s="690" t="s">
        <v>1946</v>
      </c>
      <c r="D889" s="691">
        <v>38</v>
      </c>
      <c r="E889" s="690" t="s">
        <v>1947</v>
      </c>
      <c r="F889" s="690" t="s">
        <v>1682</v>
      </c>
    </row>
    <row r="890" spans="1:17">
      <c r="A890" s="1893"/>
      <c r="B890" s="690" t="s">
        <v>1157</v>
      </c>
      <c r="C890" s="690" t="s">
        <v>1946</v>
      </c>
      <c r="D890" s="691">
        <v>95.9</v>
      </c>
      <c r="E890" s="690" t="s">
        <v>1947</v>
      </c>
      <c r="F890" s="690" t="s">
        <v>1682</v>
      </c>
    </row>
    <row r="891" spans="1:17">
      <c r="A891" s="1893"/>
      <c r="B891" s="690" t="s">
        <v>1158</v>
      </c>
      <c r="C891" s="690" t="s">
        <v>1946</v>
      </c>
      <c r="D891" s="691">
        <v>13.4</v>
      </c>
      <c r="E891" s="690" t="s">
        <v>1947</v>
      </c>
      <c r="F891" s="690" t="s">
        <v>1682</v>
      </c>
    </row>
    <row r="892" spans="1:17">
      <c r="A892" s="1893"/>
      <c r="B892" s="690" t="s">
        <v>1159</v>
      </c>
      <c r="C892" s="690" t="s">
        <v>1946</v>
      </c>
      <c r="D892" s="691">
        <v>19.8</v>
      </c>
      <c r="E892" s="690" t="s">
        <v>1947</v>
      </c>
      <c r="F892" s="690" t="s">
        <v>1682</v>
      </c>
    </row>
    <row r="893" spans="1:17">
      <c r="A893" s="1893"/>
      <c r="B893" s="690" t="s">
        <v>1160</v>
      </c>
      <c r="C893" s="690" t="s">
        <v>1946</v>
      </c>
      <c r="D893" s="691">
        <v>49.2</v>
      </c>
      <c r="E893" s="690" t="s">
        <v>1947</v>
      </c>
      <c r="F893" s="690" t="s">
        <v>1682</v>
      </c>
    </row>
    <row r="894" spans="1:17" ht="15.75">
      <c r="A894" s="255" t="s">
        <v>1948</v>
      </c>
    </row>
    <row r="895" spans="1:17" ht="23.25">
      <c r="A895" s="1802" t="s">
        <v>88</v>
      </c>
      <c r="B895" s="1803"/>
      <c r="C895" s="1803"/>
      <c r="D895" s="1803"/>
      <c r="E895" s="1803"/>
      <c r="F895" s="1803"/>
      <c r="G895" s="1803"/>
      <c r="H895" s="1803"/>
      <c r="I895" s="1803"/>
      <c r="J895" s="1803"/>
      <c r="K895" s="1803"/>
      <c r="L895" s="1803"/>
      <c r="M895" s="1803"/>
      <c r="N895" s="1803"/>
      <c r="O895" s="1803"/>
      <c r="P895" s="1803"/>
      <c r="Q895" s="1804"/>
    </row>
    <row r="896" spans="1:17">
      <c r="A896" s="6" t="s">
        <v>1588</v>
      </c>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23">
      <c r="A945" s="2"/>
    </row>
    <row r="946" spans="1:23">
      <c r="A946" s="2"/>
    </row>
    <row r="947" spans="1:23">
      <c r="A947" s="2"/>
    </row>
    <row r="948" spans="1:23">
      <c r="A948" s="2"/>
    </row>
    <row r="949" spans="1:23">
      <c r="A949" s="2"/>
    </row>
    <row r="950" spans="1:23">
      <c r="A950" s="2"/>
    </row>
    <row r="951" spans="1:23">
      <c r="A951" s="2"/>
    </row>
    <row r="952" spans="1:23">
      <c r="A952" s="2"/>
    </row>
    <row r="953" spans="1:23">
      <c r="A953" s="2"/>
    </row>
    <row r="955" spans="1:23" ht="23.25">
      <c r="A955" s="1802" t="s">
        <v>131</v>
      </c>
      <c r="B955" s="1803"/>
      <c r="C955" s="1803"/>
      <c r="D955" s="1803"/>
      <c r="E955" s="1803"/>
      <c r="F955" s="1803"/>
      <c r="G955" s="1803"/>
      <c r="H955" s="1803"/>
      <c r="I955" s="1803"/>
      <c r="J955" s="1803"/>
      <c r="K955" s="1803"/>
      <c r="L955" s="1803"/>
      <c r="M955" s="1803"/>
      <c r="N955" s="1803"/>
      <c r="O955" s="1803"/>
      <c r="P955" s="1803"/>
      <c r="Q955" s="1804"/>
    </row>
    <row r="956" spans="1:23">
      <c r="S956" s="7"/>
      <c r="T956" s="7"/>
    </row>
    <row r="957" spans="1:23">
      <c r="A957" s="1907" t="s">
        <v>1949</v>
      </c>
      <c r="B957" s="1908"/>
      <c r="C957" s="1908"/>
      <c r="D957" s="1908"/>
      <c r="E957" s="1909"/>
      <c r="S957" s="7"/>
      <c r="T957" s="7"/>
    </row>
    <row r="958" spans="1:23">
      <c r="A958" s="1366" t="s">
        <v>1417</v>
      </c>
      <c r="B958" s="1366" t="s">
        <v>1694</v>
      </c>
      <c r="C958" s="1366" t="s">
        <v>1950</v>
      </c>
      <c r="S958" s="7"/>
      <c r="T958" s="7"/>
      <c r="V958"/>
      <c r="W958"/>
    </row>
    <row r="959" spans="1:23">
      <c r="A959" s="1367" t="s">
        <v>1191</v>
      </c>
      <c r="B959" s="1368">
        <v>1740.2670000000001</v>
      </c>
      <c r="C959" s="1327" t="s">
        <v>1951</v>
      </c>
      <c r="D959" s="6" t="s">
        <v>1952</v>
      </c>
      <c r="S959" s="7"/>
      <c r="T959" s="7"/>
      <c r="V959"/>
      <c r="W959"/>
    </row>
    <row r="960" spans="1:23">
      <c r="A960" s="1367" t="s">
        <v>1191</v>
      </c>
      <c r="B960" s="1327">
        <v>857.5</v>
      </c>
      <c r="C960" s="1327" t="s">
        <v>1953</v>
      </c>
      <c r="D960" s="6" t="s">
        <v>1954</v>
      </c>
      <c r="S960" s="7"/>
      <c r="T960" s="7"/>
      <c r="V960"/>
      <c r="W960"/>
    </row>
    <row r="961" spans="1:23">
      <c r="A961" s="1365" t="s">
        <v>941</v>
      </c>
      <c r="B961" s="1327">
        <v>3.63</v>
      </c>
      <c r="C961" s="1327" t="s">
        <v>1955</v>
      </c>
      <c r="S961" s="7"/>
      <c r="T961" s="7"/>
      <c r="V961"/>
      <c r="W961"/>
    </row>
    <row r="962" spans="1:23">
      <c r="A962" s="1365" t="s">
        <v>1193</v>
      </c>
      <c r="B962" s="1327">
        <v>5.91</v>
      </c>
      <c r="C962" s="1327" t="s">
        <v>1955</v>
      </c>
      <c r="S962" s="7"/>
      <c r="T962" s="7"/>
      <c r="V962"/>
      <c r="W962"/>
    </row>
    <row r="963" spans="1:23">
      <c r="A963" s="1365" t="s">
        <v>1194</v>
      </c>
      <c r="B963" s="1327">
        <v>2.99</v>
      </c>
      <c r="C963" s="1327" t="s">
        <v>1955</v>
      </c>
      <c r="S963" s="7"/>
      <c r="T963" s="7"/>
      <c r="V963"/>
      <c r="W963"/>
    </row>
    <row r="964" spans="1:23">
      <c r="A964" s="1365" t="s">
        <v>1956</v>
      </c>
      <c r="B964" s="1327">
        <v>8.14</v>
      </c>
      <c r="C964" s="1327" t="s">
        <v>1955</v>
      </c>
      <c r="S964" s="7"/>
      <c r="T964" s="7"/>
      <c r="V964"/>
      <c r="W964"/>
    </row>
    <row r="965" spans="1:23">
      <c r="A965" s="1365" t="s">
        <v>1195</v>
      </c>
      <c r="B965" s="1327">
        <v>8.18</v>
      </c>
      <c r="C965" s="1327" t="s">
        <v>1955</v>
      </c>
      <c r="S965" s="7"/>
      <c r="T965" s="7"/>
      <c r="V965"/>
      <c r="W965"/>
    </row>
    <row r="966" spans="1:23">
      <c r="A966" s="1365" t="s">
        <v>1197</v>
      </c>
      <c r="B966" s="1327">
        <v>2.2799999999999998</v>
      </c>
      <c r="C966" s="1327" t="s">
        <v>1955</v>
      </c>
      <c r="S966" s="7"/>
      <c r="T966" s="7"/>
      <c r="V966"/>
      <c r="W966"/>
    </row>
    <row r="967" spans="1:23">
      <c r="A967" s="1365" t="s">
        <v>1198</v>
      </c>
      <c r="B967" s="1327">
        <v>3.53</v>
      </c>
      <c r="C967" s="1327" t="s">
        <v>1957</v>
      </c>
      <c r="S967" s="7"/>
      <c r="T967" s="7"/>
      <c r="V967"/>
      <c r="W967"/>
    </row>
    <row r="968" spans="1:23">
      <c r="A968" s="1365" t="s">
        <v>548</v>
      </c>
      <c r="B968" s="1327">
        <v>0.54</v>
      </c>
      <c r="C968" s="1327" t="s">
        <v>1957</v>
      </c>
      <c r="S968" s="7"/>
      <c r="T968" s="7"/>
      <c r="V968"/>
      <c r="W968"/>
    </row>
    <row r="969" spans="1:23">
      <c r="A969" s="1365" t="s">
        <v>549</v>
      </c>
      <c r="B969" s="1327">
        <v>0.61</v>
      </c>
      <c r="C969" s="1327" t="s">
        <v>1957</v>
      </c>
      <c r="S969" s="7"/>
      <c r="T969" s="7"/>
      <c r="V969"/>
      <c r="W969"/>
    </row>
    <row r="970" spans="1:23">
      <c r="A970" s="1365" t="s">
        <v>550</v>
      </c>
      <c r="B970" s="1327">
        <v>7.3999999999999996E-2</v>
      </c>
      <c r="C970" s="1327" t="s">
        <v>1957</v>
      </c>
      <c r="S970" s="7"/>
      <c r="T970" s="7"/>
      <c r="V970"/>
      <c r="W970"/>
    </row>
    <row r="989" spans="1:23" s="22" customFormat="1" ht="15.75">
      <c r="A989" s="669" t="s">
        <v>1417</v>
      </c>
      <c r="B989" s="669" t="s">
        <v>967</v>
      </c>
      <c r="C989" s="669" t="s">
        <v>1418</v>
      </c>
      <c r="D989" s="669" t="s">
        <v>1340</v>
      </c>
      <c r="F989" s="264"/>
      <c r="U989" s="1441"/>
      <c r="V989" s="261"/>
      <c r="W989" s="261"/>
    </row>
    <row r="990" spans="1:23" s="22" customFormat="1" ht="47.25">
      <c r="A990" s="1526" t="s">
        <v>548</v>
      </c>
      <c r="B990" s="671" t="s">
        <v>1419</v>
      </c>
      <c r="C990" s="1524">
        <v>1.9421999999999999</v>
      </c>
      <c r="D990" s="266" t="s">
        <v>1420</v>
      </c>
      <c r="F990" s="264"/>
      <c r="U990" s="1441"/>
      <c r="V990" s="261"/>
      <c r="W990" s="261"/>
    </row>
    <row r="991" spans="1:23" s="22" customFormat="1" ht="47.25">
      <c r="A991" s="1526" t="s">
        <v>549</v>
      </c>
      <c r="B991" s="671" t="s">
        <v>1422</v>
      </c>
      <c r="C991" s="1525">
        <v>1.8284</v>
      </c>
      <c r="D991" s="266" t="s">
        <v>1420</v>
      </c>
      <c r="F991" s="264"/>
      <c r="U991" s="1441"/>
      <c r="V991" s="261"/>
      <c r="W991" s="261"/>
    </row>
    <row r="992" spans="1:23" s="22" customFormat="1" ht="31.5">
      <c r="A992" s="1526" t="s">
        <v>550</v>
      </c>
      <c r="B992" s="671" t="s">
        <v>1958</v>
      </c>
      <c r="C992" s="1524">
        <v>3.9821000000000002E-2</v>
      </c>
      <c r="D992" s="266" t="s">
        <v>1420</v>
      </c>
      <c r="F992" s="264"/>
      <c r="U992" s="1441"/>
      <c r="V992" s="261"/>
      <c r="W992" s="261"/>
    </row>
    <row r="993" spans="1:23" s="22" customFormat="1" ht="31.5">
      <c r="A993" s="1526" t="s">
        <v>1959</v>
      </c>
      <c r="B993" s="671" t="s">
        <v>1960</v>
      </c>
      <c r="C993" s="1524">
        <v>5.0636999999999999</v>
      </c>
      <c r="D993" s="266" t="s">
        <v>1420</v>
      </c>
      <c r="F993" s="264"/>
      <c r="U993" s="1441"/>
      <c r="V993" s="261"/>
      <c r="W993" s="261"/>
    </row>
    <row r="994" spans="1:23" s="22" customFormat="1" ht="32.25" customHeight="1">
      <c r="A994" s="1526" t="s">
        <v>1961</v>
      </c>
      <c r="B994" s="671" t="s">
        <v>1962</v>
      </c>
      <c r="C994" s="1524">
        <f>505.49/2300</f>
        <v>0.21977826086956523</v>
      </c>
      <c r="D994" s="266" t="s">
        <v>1420</v>
      </c>
      <c r="F994" s="1389"/>
      <c r="U994" s="1441"/>
      <c r="V994" s="261"/>
      <c r="W994" s="261"/>
    </row>
    <row r="995" spans="1:23" s="22" customFormat="1" ht="15.75">
      <c r="A995" s="1526" t="s">
        <v>1963</v>
      </c>
      <c r="B995" s="671" t="s">
        <v>1964</v>
      </c>
      <c r="C995" s="1524">
        <v>0.16397</v>
      </c>
      <c r="D995" s="266" t="s">
        <v>1420</v>
      </c>
      <c r="F995" s="264"/>
      <c r="U995" s="1441"/>
      <c r="V995" s="261"/>
      <c r="W995" s="261"/>
    </row>
    <row r="996" spans="1:23" s="22" customFormat="1" ht="15.75">
      <c r="A996" s="1388"/>
      <c r="B996" s="671"/>
      <c r="C996" s="1524"/>
      <c r="D996" s="266"/>
      <c r="F996" s="264"/>
      <c r="U996" s="1441"/>
      <c r="V996" s="261"/>
      <c r="W996" s="261"/>
    </row>
    <row r="998" spans="1:23" ht="15.75">
      <c r="A998" s="24" t="s">
        <v>1965</v>
      </c>
    </row>
    <row r="999" spans="1:23">
      <c r="A999" s="68" t="s">
        <v>1966</v>
      </c>
    </row>
    <row r="1000" spans="1:23">
      <c r="A1000" s="68" t="s">
        <v>1967</v>
      </c>
    </row>
    <row r="1002" spans="1:23" ht="23.25">
      <c r="A1002" s="1802" t="s">
        <v>1968</v>
      </c>
      <c r="B1002" s="1803"/>
      <c r="C1002" s="1803"/>
      <c r="D1002" s="1803"/>
      <c r="E1002" s="1803"/>
      <c r="F1002" s="1803"/>
      <c r="G1002" s="1803"/>
      <c r="H1002" s="1803"/>
      <c r="I1002" s="1803"/>
      <c r="J1002" s="1803"/>
      <c r="K1002" s="1803"/>
      <c r="L1002" s="1803"/>
      <c r="M1002" s="1803"/>
      <c r="N1002" s="1803"/>
      <c r="O1002" s="1803"/>
      <c r="P1002" s="1803"/>
      <c r="Q1002" s="1804"/>
    </row>
    <row r="1003" spans="1:23" ht="15.75" thickBot="1"/>
    <row r="1004" spans="1:23" ht="63.75" thickBot="1">
      <c r="A1004" s="52"/>
      <c r="B1004" s="56" t="s">
        <v>1969</v>
      </c>
      <c r="C1004" s="56" t="s">
        <v>1970</v>
      </c>
      <c r="D1004" s="56" t="s">
        <v>1971</v>
      </c>
      <c r="F1004" s="291" t="s">
        <v>1972</v>
      </c>
      <c r="G1004" s="291" t="s">
        <v>1973</v>
      </c>
    </row>
    <row r="1005" spans="1:23" ht="15.75">
      <c r="A1005" s="53"/>
      <c r="B1005" s="1986" t="s">
        <v>1974</v>
      </c>
      <c r="C1005" s="1987"/>
      <c r="D1005" s="1988"/>
      <c r="F1005" s="1543">
        <f>SUM(B1027:B1029)/3</f>
        <v>0.34933333333333333</v>
      </c>
      <c r="G1005" s="1543">
        <f>SUM(B1030:B1032)/3</f>
        <v>0.20366666666666666</v>
      </c>
    </row>
    <row r="1006" spans="1:23" ht="15.75" thickBot="1">
      <c r="A1006" s="53"/>
      <c r="B1006" s="1842"/>
      <c r="C1006" s="1843"/>
      <c r="D1006" s="1844"/>
    </row>
    <row r="1007" spans="1:23" ht="60">
      <c r="A1007" s="53" t="s">
        <v>1975</v>
      </c>
      <c r="B1007" s="1845" t="s">
        <v>1976</v>
      </c>
      <c r="C1007" s="1845" t="s">
        <v>1977</v>
      </c>
      <c r="D1007" s="143" t="s">
        <v>1978</v>
      </c>
    </row>
    <row r="1008" spans="1:23" ht="30.75" thickBot="1">
      <c r="A1008" s="54"/>
      <c r="B1008" s="1846"/>
      <c r="C1008" s="1846"/>
      <c r="D1008" s="144" t="s">
        <v>1979</v>
      </c>
    </row>
    <row r="1009" spans="1:4" ht="15.75" thickBot="1">
      <c r="A1009" s="58"/>
      <c r="B1009" s="144" t="s">
        <v>1980</v>
      </c>
      <c r="C1009" s="144">
        <v>200</v>
      </c>
      <c r="D1009" s="144"/>
    </row>
    <row r="1010" spans="1:4" ht="15.75" thickBot="1">
      <c r="A1010" s="54"/>
      <c r="B1010" s="144" t="s">
        <v>1981</v>
      </c>
      <c r="C1010" s="144" t="s">
        <v>1982</v>
      </c>
      <c r="D1010" s="144"/>
    </row>
    <row r="1011" spans="1:4">
      <c r="A1011" s="54"/>
      <c r="B1011" s="1847" t="s">
        <v>1983</v>
      </c>
      <c r="C1011" s="1848"/>
      <c r="D1011" s="1849"/>
    </row>
    <row r="1012" spans="1:4">
      <c r="A1012" s="54"/>
      <c r="B1012" s="1910" t="s">
        <v>1984</v>
      </c>
      <c r="C1012" s="1911"/>
      <c r="D1012" s="1912"/>
    </row>
    <row r="1013" spans="1:4">
      <c r="A1013" s="54"/>
      <c r="B1013" s="1918" t="s">
        <v>1985</v>
      </c>
      <c r="C1013" s="1919"/>
      <c r="D1013" s="1920"/>
    </row>
    <row r="1014" spans="1:4" ht="15.75" thickBot="1">
      <c r="A1014" s="55"/>
      <c r="B1014" s="1842"/>
      <c r="C1014" s="1843"/>
      <c r="D1014" s="1844"/>
    </row>
    <row r="1016" spans="1:4" ht="15.75" thickBot="1">
      <c r="A1016" s="1913" t="s">
        <v>1986</v>
      </c>
      <c r="B1016" s="57" t="s">
        <v>1969</v>
      </c>
      <c r="C1016" s="57" t="s">
        <v>1970</v>
      </c>
      <c r="D1016" s="57" t="s">
        <v>1971</v>
      </c>
    </row>
    <row r="1017" spans="1:4" ht="15.75" thickBot="1">
      <c r="A1017" s="1913"/>
      <c r="B1017" s="1915" t="s">
        <v>1987</v>
      </c>
      <c r="C1017" s="1916"/>
      <c r="D1017" s="1917"/>
    </row>
    <row r="1018" spans="1:4" ht="60.75" thickBot="1">
      <c r="A1018" s="1913"/>
      <c r="B1018" s="144" t="s">
        <v>1988</v>
      </c>
      <c r="C1018" s="144" t="s">
        <v>1989</v>
      </c>
      <c r="D1018" s="143" t="s">
        <v>1990</v>
      </c>
    </row>
    <row r="1019" spans="1:4" ht="75.75" thickBot="1">
      <c r="A1019" s="1913"/>
      <c r="B1019" s="144" t="s">
        <v>1991</v>
      </c>
      <c r="C1019" s="144" t="s">
        <v>1992</v>
      </c>
      <c r="D1019" s="144" t="s">
        <v>1993</v>
      </c>
    </row>
    <row r="1020" spans="1:4">
      <c r="A1020" s="1913"/>
      <c r="B1020" s="1847" t="s">
        <v>1983</v>
      </c>
      <c r="C1020" s="1848"/>
      <c r="D1020" s="1849"/>
    </row>
    <row r="1021" spans="1:4">
      <c r="A1021" s="1913"/>
      <c r="B1021" s="1910" t="s">
        <v>1994</v>
      </c>
      <c r="C1021" s="1911"/>
      <c r="D1021" s="1912"/>
    </row>
    <row r="1022" spans="1:4" ht="15.75" thickBot="1">
      <c r="A1022" s="1914"/>
      <c r="B1022" s="1842"/>
      <c r="C1022" s="1843"/>
      <c r="D1022" s="1844"/>
    </row>
    <row r="1024" spans="1:4" ht="15.75" thickBot="1">
      <c r="A1024" s="276" t="s">
        <v>1995</v>
      </c>
    </row>
    <row r="1025" spans="1:17">
      <c r="A1025" s="1989" t="s">
        <v>1996</v>
      </c>
      <c r="B1025" s="277" t="s">
        <v>1819</v>
      </c>
    </row>
    <row r="1026" spans="1:17" ht="15.75" thickBot="1">
      <c r="A1026" s="1990"/>
      <c r="B1026" s="278" t="s">
        <v>1997</v>
      </c>
    </row>
    <row r="1027" spans="1:17" ht="15.75" thickBot="1">
      <c r="A1027" s="286" t="s">
        <v>185</v>
      </c>
      <c r="B1027" s="684">
        <v>0.39400000000000002</v>
      </c>
    </row>
    <row r="1028" spans="1:17" ht="15.75" thickBot="1">
      <c r="A1028" s="286" t="s">
        <v>722</v>
      </c>
      <c r="B1028" s="684">
        <v>0.35299999999999998</v>
      </c>
    </row>
    <row r="1029" spans="1:17" ht="15.75" thickBot="1">
      <c r="A1029" s="286" t="s">
        <v>723</v>
      </c>
      <c r="B1029" s="684">
        <v>0.30099999999999999</v>
      </c>
    </row>
    <row r="1030" spans="1:17" ht="15.75" thickBot="1">
      <c r="A1030" s="286" t="s">
        <v>1121</v>
      </c>
      <c r="B1030" s="684">
        <v>5.6000000000000001E-2</v>
      </c>
    </row>
    <row r="1031" spans="1:17" ht="15.75" thickBot="1">
      <c r="A1031" s="286" t="s">
        <v>1153</v>
      </c>
      <c r="B1031" s="684">
        <v>0.17399999999999999</v>
      </c>
    </row>
    <row r="1032" spans="1:17" ht="15.75" thickBot="1">
      <c r="A1032" s="286" t="s">
        <v>1122</v>
      </c>
      <c r="B1032" s="684">
        <v>0.38100000000000001</v>
      </c>
    </row>
    <row r="1033" spans="1:17" ht="15.75" thickBot="1">
      <c r="A1033" s="286"/>
      <c r="B1033" s="1391"/>
    </row>
    <row r="1034" spans="1:17" ht="15.75" thickBot="1">
      <c r="A1034" s="286"/>
      <c r="B1034" s="1391"/>
    </row>
    <row r="1035" spans="1:17" ht="15.75" thickBot="1">
      <c r="A1035" s="286"/>
      <c r="B1035" s="1391"/>
      <c r="D1035" s="5"/>
    </row>
    <row r="1036" spans="1:17" ht="15.75">
      <c r="A1036" s="255"/>
    </row>
    <row r="1037" spans="1:17">
      <c r="A1037" s="250" t="s">
        <v>1998</v>
      </c>
      <c r="B1037" s="279"/>
      <c r="C1037" s="279"/>
    </row>
    <row r="1039" spans="1:17" ht="23.25">
      <c r="A1039" s="1802" t="s">
        <v>1999</v>
      </c>
      <c r="B1039" s="1803"/>
      <c r="C1039" s="1803"/>
      <c r="D1039" s="1803"/>
      <c r="E1039" s="1803"/>
      <c r="F1039" s="1803"/>
      <c r="G1039" s="1803"/>
      <c r="H1039" s="1803"/>
      <c r="I1039" s="1803"/>
      <c r="J1039" s="1803"/>
      <c r="K1039" s="1803"/>
      <c r="L1039" s="1803"/>
      <c r="M1039" s="1803"/>
      <c r="N1039" s="1803"/>
      <c r="O1039" s="1803"/>
      <c r="P1039" s="1803"/>
      <c r="Q1039" s="1804"/>
    </row>
    <row r="1042" spans="1:1">
      <c r="A1042" s="10" t="s">
        <v>2000</v>
      </c>
    </row>
    <row r="1059" spans="1:17" ht="23.25">
      <c r="A1059" s="1802" t="s">
        <v>2001</v>
      </c>
      <c r="B1059" s="1803"/>
      <c r="C1059" s="1803"/>
      <c r="D1059" s="1803"/>
      <c r="E1059" s="1803"/>
      <c r="F1059" s="1803"/>
      <c r="G1059" s="1803"/>
      <c r="H1059" s="1803"/>
      <c r="I1059" s="1803"/>
      <c r="J1059" s="1803"/>
      <c r="K1059" s="1803"/>
      <c r="L1059" s="1803"/>
      <c r="M1059" s="1803"/>
      <c r="N1059" s="1803"/>
      <c r="O1059" s="1803"/>
      <c r="P1059" s="1803"/>
      <c r="Q1059" s="1804"/>
    </row>
    <row r="1060" spans="1:17">
      <c r="A1060" s="6" t="s">
        <v>1412</v>
      </c>
    </row>
    <row r="1062" spans="1:17" ht="15.75">
      <c r="A1062" s="11" t="s">
        <v>2002</v>
      </c>
      <c r="E1062" s="9"/>
    </row>
    <row r="1063" spans="1:17" ht="15.75">
      <c r="A1063" s="11" t="s">
        <v>2003</v>
      </c>
      <c r="E1063" s="9"/>
    </row>
    <row r="1064" spans="1:17">
      <c r="A1064" s="2" t="s">
        <v>2004</v>
      </c>
      <c r="E1064" s="9"/>
    </row>
    <row r="1067" spans="1:17" ht="23.25">
      <c r="A1067" s="1802" t="s">
        <v>1233</v>
      </c>
      <c r="B1067" s="1803"/>
      <c r="C1067" s="1803"/>
      <c r="D1067" s="1803"/>
      <c r="E1067" s="1803"/>
      <c r="F1067" s="1803"/>
      <c r="G1067" s="1803"/>
      <c r="H1067" s="1803"/>
      <c r="I1067" s="1803"/>
      <c r="J1067" s="1803"/>
      <c r="K1067" s="1803"/>
      <c r="L1067" s="1803"/>
      <c r="M1067" s="1803"/>
      <c r="N1067" s="1803"/>
      <c r="O1067" s="1803"/>
      <c r="P1067" s="1803"/>
      <c r="Q1067" s="1804"/>
    </row>
    <row r="1068" spans="1:17">
      <c r="A1068" s="6" t="s">
        <v>1412</v>
      </c>
      <c r="B1068" s="3"/>
      <c r="C1068" s="3"/>
      <c r="D1068" s="3"/>
      <c r="F1068" s="1"/>
      <c r="G1068" s="3"/>
    </row>
    <row r="1069" spans="1:17">
      <c r="A1069" s="1862" t="s">
        <v>2005</v>
      </c>
      <c r="B1069" s="1862"/>
      <c r="C1069" s="1862"/>
      <c r="D1069" s="1862"/>
      <c r="E1069" s="1862"/>
      <c r="F1069" s="1862"/>
      <c r="G1069" s="1862"/>
    </row>
    <row r="1070" spans="1:17">
      <c r="A1070" s="1862" t="s">
        <v>2006</v>
      </c>
      <c r="B1070" s="1862"/>
      <c r="C1070" s="1862"/>
      <c r="D1070" s="1862"/>
      <c r="E1070" s="1862"/>
      <c r="F1070" s="1862"/>
      <c r="G1070" s="1862"/>
    </row>
    <row r="1072" spans="1:17">
      <c r="A1072" s="1863" t="s">
        <v>2007</v>
      </c>
      <c r="B1072" s="1863"/>
      <c r="C1072" s="1863"/>
      <c r="D1072" s="1863"/>
      <c r="E1072" s="1863"/>
      <c r="F1072" s="1863"/>
    </row>
    <row r="1073" spans="1:10">
      <c r="A1073" s="12" t="s">
        <v>2008</v>
      </c>
      <c r="B1073" s="13"/>
      <c r="C1073" s="14"/>
      <c r="D1073" s="14"/>
      <c r="E1073" s="14"/>
      <c r="F1073" s="14"/>
    </row>
    <row r="1074" spans="1:10">
      <c r="A1074" s="12" t="s">
        <v>2009</v>
      </c>
      <c r="B1074" s="13"/>
      <c r="C1074" s="14"/>
      <c r="D1074" s="14"/>
      <c r="E1074" s="14"/>
      <c r="F1074" s="14"/>
    </row>
    <row r="1075" spans="1:10">
      <c r="A1075" s="12" t="s">
        <v>2010</v>
      </c>
      <c r="B1075" s="13"/>
      <c r="C1075" s="14"/>
      <c r="D1075" s="14"/>
      <c r="E1075" s="14"/>
      <c r="F1075" s="14"/>
    </row>
    <row r="1076" spans="1:10">
      <c r="A1076" s="12" t="s">
        <v>2011</v>
      </c>
      <c r="B1076" s="13"/>
      <c r="C1076" s="14"/>
      <c r="D1076" s="14"/>
      <c r="E1076" s="14"/>
      <c r="F1076" s="14"/>
    </row>
    <row r="1077" spans="1:10">
      <c r="A1077" t="s">
        <v>2012</v>
      </c>
      <c r="B1077" s="1"/>
      <c r="C1077" s="3"/>
      <c r="D1077" s="3"/>
      <c r="E1077" s="3"/>
      <c r="F1077" s="3"/>
    </row>
    <row r="1078" spans="1:10">
      <c r="A1078" t="s">
        <v>2013</v>
      </c>
      <c r="B1078" s="1"/>
      <c r="C1078" s="3"/>
      <c r="D1078" s="3"/>
      <c r="E1078" s="3"/>
      <c r="F1078" s="3"/>
    </row>
    <row r="1079" spans="1:10">
      <c r="A1079" t="s">
        <v>2014</v>
      </c>
      <c r="B1079" s="1"/>
      <c r="C1079" s="3"/>
      <c r="D1079" s="3"/>
      <c r="E1079" s="3"/>
      <c r="F1079" s="3"/>
    </row>
    <row r="1080" spans="1:10">
      <c r="A1080" s="15" t="s">
        <v>2015</v>
      </c>
      <c r="B1080" s="16"/>
      <c r="C1080" s="17"/>
      <c r="D1080" s="3"/>
      <c r="E1080" s="3"/>
      <c r="F1080" s="3"/>
    </row>
    <row r="1081" spans="1:10">
      <c r="A1081" t="s">
        <v>2016</v>
      </c>
      <c r="B1081" s="1"/>
      <c r="C1081" s="18">
        <v>0.106</v>
      </c>
      <c r="D1081" s="3"/>
      <c r="E1081" s="3"/>
      <c r="F1081" s="3"/>
    </row>
    <row r="1082" spans="1:10">
      <c r="A1082" t="s">
        <v>2017</v>
      </c>
      <c r="B1082" s="1"/>
      <c r="C1082" s="18">
        <v>5.1999999999999998E-2</v>
      </c>
      <c r="D1082" s="3"/>
      <c r="E1082" s="3"/>
      <c r="F1082" s="3"/>
    </row>
    <row r="1083" spans="1:10">
      <c r="A1083" t="s">
        <v>2018</v>
      </c>
      <c r="B1083" s="1"/>
      <c r="C1083" s="18">
        <v>2.3E-2</v>
      </c>
      <c r="D1083" s="3"/>
      <c r="E1083" s="3"/>
      <c r="F1083" s="3"/>
    </row>
    <row r="1084" spans="1:10">
      <c r="A1084" t="s">
        <v>2019</v>
      </c>
      <c r="B1084" s="1"/>
      <c r="C1084" s="18">
        <v>0.191</v>
      </c>
      <c r="D1084" s="3"/>
      <c r="E1084" s="3"/>
      <c r="F1084" s="3"/>
    </row>
    <row r="1085" spans="1:10">
      <c r="A1085" t="s">
        <v>2020</v>
      </c>
      <c r="B1085" s="1"/>
      <c r="C1085" s="18">
        <v>0.128</v>
      </c>
      <c r="D1085" s="3"/>
      <c r="E1085" s="3"/>
      <c r="F1085" s="3"/>
    </row>
    <row r="1086" spans="1:10">
      <c r="A1086" t="s">
        <v>2021</v>
      </c>
      <c r="B1086" s="1"/>
      <c r="C1086" s="19">
        <v>0.5</v>
      </c>
      <c r="D1086" s="3"/>
      <c r="E1086" s="3"/>
      <c r="F1086" s="3"/>
    </row>
    <row r="1088" spans="1:10" ht="18.75">
      <c r="A1088" s="20" t="s">
        <v>2022</v>
      </c>
      <c r="B1088" s="3"/>
      <c r="C1088" s="3"/>
      <c r="D1088" s="3"/>
      <c r="E1088" s="3"/>
      <c r="G1088" s="1"/>
      <c r="H1088" s="19"/>
      <c r="I1088" s="3"/>
      <c r="J1088" s="3"/>
    </row>
    <row r="1089" spans="1:17">
      <c r="A1089" t="s">
        <v>2013</v>
      </c>
      <c r="B1089" s="3"/>
      <c r="C1089" s="3"/>
      <c r="D1089" s="3"/>
      <c r="E1089" s="3"/>
      <c r="G1089" s="1"/>
      <c r="H1089" s="19"/>
      <c r="I1089" s="3"/>
      <c r="J1089" s="3"/>
    </row>
    <row r="1090" spans="1:17">
      <c r="A1090" t="s">
        <v>2014</v>
      </c>
      <c r="B1090" s="3"/>
      <c r="C1090" s="3"/>
      <c r="D1090" s="3"/>
      <c r="E1090" s="3"/>
      <c r="G1090" s="1"/>
      <c r="H1090" s="19"/>
      <c r="I1090" s="3"/>
      <c r="J1090" s="3"/>
    </row>
    <row r="1091" spans="1:17">
      <c r="A1091" s="1861" t="s">
        <v>2023</v>
      </c>
      <c r="B1091" s="1861"/>
      <c r="C1091" s="1861"/>
      <c r="D1091" s="1861"/>
      <c r="E1091" s="1861"/>
      <c r="F1091" s="1861"/>
      <c r="G1091" s="1861"/>
      <c r="H1091" s="1861"/>
      <c r="I1091" s="1861"/>
      <c r="J1091" s="3"/>
    </row>
    <row r="1092" spans="1:17">
      <c r="A1092" s="1861" t="s">
        <v>2024</v>
      </c>
      <c r="B1092" s="1861"/>
      <c r="C1092" s="1861"/>
      <c r="D1092" s="1861"/>
      <c r="E1092" s="1861"/>
      <c r="F1092" s="1861"/>
      <c r="G1092" s="1861"/>
      <c r="H1092" s="3"/>
      <c r="I1092" s="3"/>
      <c r="J1092" s="3"/>
    </row>
    <row r="1093" spans="1:17">
      <c r="A1093" s="1861" t="s">
        <v>2025</v>
      </c>
      <c r="B1093" s="1861"/>
      <c r="C1093" s="1861"/>
      <c r="D1093" s="1861"/>
      <c r="E1093" s="1861"/>
      <c r="F1093" s="1861"/>
      <c r="G1093" s="1861"/>
      <c r="H1093" s="1861"/>
      <c r="I1093" s="3"/>
      <c r="J1093" s="3"/>
    </row>
    <row r="1094" spans="1:17">
      <c r="A1094" s="1861" t="s">
        <v>2026</v>
      </c>
      <c r="B1094" s="1861"/>
      <c r="C1094" s="1861"/>
      <c r="D1094" s="1861"/>
      <c r="E1094" s="1861"/>
      <c r="F1094" s="1861"/>
      <c r="G1094" s="1861"/>
      <c r="H1094" s="1861"/>
      <c r="I1094" s="3"/>
      <c r="J1094" s="3"/>
    </row>
    <row r="1095" spans="1:17">
      <c r="A1095" s="1861" t="s">
        <v>2027</v>
      </c>
      <c r="B1095" s="1861"/>
      <c r="C1095" s="1861"/>
      <c r="D1095" s="1861"/>
      <c r="E1095" s="1861"/>
      <c r="F1095" s="1861"/>
      <c r="G1095" s="1861"/>
      <c r="H1095" s="1861"/>
      <c r="I1095" s="1861"/>
      <c r="J1095" s="1861"/>
    </row>
    <row r="1096" spans="1:17">
      <c r="A1096" s="1861" t="s">
        <v>2028</v>
      </c>
      <c r="B1096" s="1861"/>
      <c r="C1096" s="1861"/>
      <c r="D1096" s="1861"/>
      <c r="E1096" s="1861"/>
      <c r="F1096" s="1861"/>
      <c r="G1096" s="1861"/>
      <c r="H1096" s="1861"/>
      <c r="I1096" s="1861"/>
      <c r="J1096" s="3"/>
    </row>
    <row r="1097" spans="1:17">
      <c r="A1097" s="1861" t="s">
        <v>2029</v>
      </c>
      <c r="B1097" s="1861"/>
      <c r="C1097" s="1861"/>
      <c r="D1097" s="1861"/>
      <c r="E1097" s="1861"/>
      <c r="F1097" s="1861"/>
      <c r="G1097" s="1861"/>
      <c r="H1097" s="1861"/>
      <c r="I1097" s="3"/>
      <c r="J1097" s="3"/>
    </row>
    <row r="1098" spans="1:17">
      <c r="A1098" s="1861" t="s">
        <v>2030</v>
      </c>
      <c r="B1098" s="1861"/>
      <c r="C1098" s="1861"/>
      <c r="D1098" s="1861"/>
      <c r="E1098" s="1861"/>
      <c r="F1098" s="1861"/>
      <c r="G1098" s="1861"/>
      <c r="H1098" s="1861"/>
      <c r="I1098" s="3"/>
      <c r="J1098" s="3"/>
    </row>
    <row r="1099" spans="1:17">
      <c r="A1099" s="1861" t="s">
        <v>2031</v>
      </c>
      <c r="B1099" s="1861"/>
      <c r="C1099" s="1861"/>
      <c r="D1099" s="1861"/>
      <c r="E1099" s="1861"/>
      <c r="F1099" s="1861"/>
      <c r="G1099" s="1861"/>
      <c r="H1099" s="1861"/>
      <c r="I1099" s="3"/>
      <c r="J1099" s="3"/>
    </row>
    <row r="1102" spans="1:17" ht="23.25">
      <c r="A1102" s="1802" t="s">
        <v>201</v>
      </c>
      <c r="B1102" s="1803"/>
      <c r="C1102" s="1803"/>
      <c r="D1102" s="1803"/>
      <c r="E1102" s="1803"/>
      <c r="F1102" s="1803"/>
      <c r="G1102" s="1803"/>
      <c r="H1102" s="1803"/>
      <c r="I1102" s="1803"/>
      <c r="J1102" s="1803"/>
      <c r="K1102" s="1803"/>
      <c r="L1102" s="1803"/>
      <c r="M1102" s="1803"/>
      <c r="N1102" s="1803"/>
      <c r="O1102" s="1803"/>
      <c r="P1102" s="1803"/>
      <c r="Q1102" s="1804"/>
    </row>
    <row r="1103" spans="1:17">
      <c r="A1103" s="1899" t="s">
        <v>2032</v>
      </c>
      <c r="B1103" s="1900"/>
      <c r="C1103" s="1900"/>
      <c r="D1103" s="1900"/>
      <c r="E1103" s="1900"/>
      <c r="F1103" s="1900"/>
    </row>
    <row r="1104" spans="1:17">
      <c r="A1104" s="5" t="s">
        <v>2033</v>
      </c>
    </row>
    <row r="1105" spans="1:1">
      <c r="A1105" t="s">
        <v>2034</v>
      </c>
    </row>
    <row r="1106" spans="1:1">
      <c r="A1106" t="s">
        <v>2035</v>
      </c>
    </row>
    <row r="1107" spans="1:1">
      <c r="A1107" t="s">
        <v>2036</v>
      </c>
    </row>
    <row r="1108" spans="1:1">
      <c r="A1108" t="s">
        <v>2037</v>
      </c>
    </row>
    <row r="1109" spans="1:1">
      <c r="A1109" t="s">
        <v>2038</v>
      </c>
    </row>
    <row r="1110" spans="1:1">
      <c r="A1110" t="s">
        <v>2039</v>
      </c>
    </row>
    <row r="1112" spans="1:1">
      <c r="A1112" s="5" t="s">
        <v>2040</v>
      </c>
    </row>
    <row r="1113" spans="1:1">
      <c r="A1113" t="s">
        <v>2041</v>
      </c>
    </row>
    <row r="1114" spans="1:1">
      <c r="A1114" t="s">
        <v>2042</v>
      </c>
    </row>
    <row r="1115" spans="1:1">
      <c r="A1115" t="s">
        <v>2043</v>
      </c>
    </row>
    <row r="1117" spans="1:1">
      <c r="A1117" t="s">
        <v>2044</v>
      </c>
    </row>
    <row r="1118" spans="1:1">
      <c r="A1118" s="10"/>
    </row>
    <row r="1121" spans="1:25">
      <c r="A1121" s="5" t="s">
        <v>2045</v>
      </c>
    </row>
    <row r="1122" spans="1:25">
      <c r="A1122" s="10" t="s">
        <v>2046</v>
      </c>
    </row>
    <row r="1123" spans="1:25">
      <c r="R1123" s="5"/>
      <c r="S1123" s="5"/>
      <c r="T1123" s="5"/>
      <c r="U1123" s="1444"/>
      <c r="V1123" s="49"/>
      <c r="W1123" s="49"/>
      <c r="X1123" s="5"/>
      <c r="Y1123" s="5"/>
    </row>
    <row r="1124" spans="1:25" ht="23.25">
      <c r="A1124" s="1901" t="s">
        <v>1261</v>
      </c>
      <c r="B1124" s="1901"/>
      <c r="C1124" s="1901"/>
      <c r="D1124" s="1901"/>
      <c r="E1124" s="1901"/>
      <c r="F1124" s="1901"/>
      <c r="G1124" s="1901"/>
      <c r="H1124" s="1901"/>
      <c r="I1124" s="1901"/>
      <c r="J1124" s="1901"/>
      <c r="K1124" s="1901"/>
      <c r="L1124" s="1901"/>
      <c r="M1124" s="1901"/>
      <c r="N1124" s="5"/>
      <c r="O1124" s="5"/>
      <c r="P1124" s="5"/>
      <c r="Q1124" s="5"/>
      <c r="R1124" s="1902" t="s">
        <v>1272</v>
      </c>
      <c r="S1124" s="1903"/>
      <c r="T1124" s="1904"/>
    </row>
    <row r="1125" spans="1:25" ht="60">
      <c r="A1125" s="69" t="s">
        <v>1262</v>
      </c>
      <c r="B1125" s="69" t="s">
        <v>1263</v>
      </c>
      <c r="C1125" s="69" t="s">
        <v>1264</v>
      </c>
      <c r="D1125" s="69" t="s">
        <v>1253</v>
      </c>
      <c r="E1125" s="69" t="s">
        <v>1254</v>
      </c>
      <c r="F1125" s="69" t="s">
        <v>1265</v>
      </c>
      <c r="G1125" s="69" t="s">
        <v>1266</v>
      </c>
      <c r="H1125" s="69" t="s">
        <v>1257</v>
      </c>
      <c r="I1125" s="69" t="s">
        <v>1267</v>
      </c>
      <c r="J1125" s="69" t="s">
        <v>1268</v>
      </c>
      <c r="K1125" s="70" t="s">
        <v>1269</v>
      </c>
      <c r="L1125" s="71" t="s">
        <v>1270</v>
      </c>
      <c r="M1125" s="69" t="s">
        <v>1271</v>
      </c>
      <c r="R1125" s="1905"/>
      <c r="S1125" s="1906"/>
      <c r="T1125" s="83" t="s">
        <v>1274</v>
      </c>
    </row>
    <row r="1126" spans="1:25">
      <c r="A1126" s="37" t="s">
        <v>1273</v>
      </c>
      <c r="B1126" s="72">
        <v>0</v>
      </c>
      <c r="C1126" s="73">
        <v>1</v>
      </c>
      <c r="D1126" s="74">
        <v>1</v>
      </c>
      <c r="E1126" s="75">
        <v>0.5</v>
      </c>
      <c r="F1126" s="76">
        <v>0.5</v>
      </c>
      <c r="G1126" s="77">
        <f>B1126*C1126</f>
        <v>0</v>
      </c>
      <c r="H1126" s="78">
        <f>G1126*0.25</f>
        <v>0</v>
      </c>
      <c r="I1126" s="79">
        <f>H1126*3.67</f>
        <v>0</v>
      </c>
      <c r="J1126" s="79">
        <f>I1126*0.907</f>
        <v>0</v>
      </c>
      <c r="K1126" s="80"/>
      <c r="L1126" s="81" t="e">
        <f>(VLOOKUP(E1126,$A$175:$C$177, 2, TRUE)-1)</f>
        <v>#N/A</v>
      </c>
      <c r="M1126" s="82" t="e">
        <f>(VLOOKUP(E1126,#REF!, 2,TRUE))*J1126*D1126</f>
        <v>#REF!</v>
      </c>
      <c r="R1126" s="1894"/>
      <c r="S1126" s="1895"/>
      <c r="T1126" s="83" t="s">
        <v>1276</v>
      </c>
    </row>
    <row r="1127" spans="1:25">
      <c r="A1127" s="37" t="s">
        <v>1275</v>
      </c>
      <c r="B1127" s="72">
        <v>14000</v>
      </c>
      <c r="C1127" s="73">
        <v>2</v>
      </c>
      <c r="D1127" s="74">
        <v>1</v>
      </c>
      <c r="E1127" s="75">
        <v>0.5</v>
      </c>
      <c r="F1127" s="76">
        <v>0.5</v>
      </c>
      <c r="G1127" s="77">
        <f>B1127*C1127</f>
        <v>28000</v>
      </c>
      <c r="H1127" s="78">
        <f>G1127*0.25</f>
        <v>7000</v>
      </c>
      <c r="I1127" s="79">
        <f>H1127*3.67</f>
        <v>25690</v>
      </c>
      <c r="J1127" s="79">
        <f t="shared" ref="J1127:J1130" si="12">I1127*0.907</f>
        <v>23300.83</v>
      </c>
      <c r="K1127" s="80"/>
      <c r="L1127" s="81" t="e">
        <f>(VLOOKUP(E1127,#REF!, 2, TRUE)-1)</f>
        <v>#REF!</v>
      </c>
      <c r="M1127" s="82" t="e">
        <f>(VLOOKUP(E1127,#REF!, 2,TRUE))*J1127*D1127</f>
        <v>#REF!</v>
      </c>
      <c r="O1127" s="84">
        <f>G1127*37.5</f>
        <v>1050000</v>
      </c>
    </row>
    <row r="1128" spans="1:25">
      <c r="A1128" s="37" t="s">
        <v>1277</v>
      </c>
      <c r="B1128" s="72">
        <v>0</v>
      </c>
      <c r="C1128" s="73">
        <v>3.5</v>
      </c>
      <c r="D1128" s="74">
        <v>1</v>
      </c>
      <c r="E1128" s="75">
        <v>0.5</v>
      </c>
      <c r="F1128" s="76">
        <v>0.5</v>
      </c>
      <c r="G1128" s="77">
        <f>B1128*C1128</f>
        <v>0</v>
      </c>
      <c r="H1128" s="78">
        <f>G1128*0.25</f>
        <v>0</v>
      </c>
      <c r="I1128" s="79">
        <f>H1128*3.67</f>
        <v>0</v>
      </c>
      <c r="J1128" s="79">
        <f t="shared" si="12"/>
        <v>0</v>
      </c>
      <c r="K1128" s="80"/>
      <c r="L1128" s="81" t="e">
        <f>(VLOOKUP(E1128,#REF!, 2, TRUE)-1)</f>
        <v>#REF!</v>
      </c>
      <c r="M1128" s="82" t="e">
        <f>(VLOOKUP(E1128,#REF!, 2,TRUE))*J1128*D1128</f>
        <v>#REF!</v>
      </c>
      <c r="O1128" s="84">
        <f t="shared" ref="O1128" si="13">G1128*26*2</f>
        <v>0</v>
      </c>
      <c r="R1128" s="1896" t="s">
        <v>1279</v>
      </c>
      <c r="S1128" s="1897"/>
      <c r="T1128" s="1898"/>
    </row>
    <row r="1129" spans="1:25">
      <c r="A1129" s="37" t="s">
        <v>1278</v>
      </c>
      <c r="B1129" s="72">
        <v>8000</v>
      </c>
      <c r="C1129" s="73">
        <v>5</v>
      </c>
      <c r="D1129" s="74">
        <v>1</v>
      </c>
      <c r="E1129" s="75">
        <v>0.5</v>
      </c>
      <c r="F1129" s="76">
        <v>0.5</v>
      </c>
      <c r="G1129" s="77">
        <f>B1129*C1129</f>
        <v>40000</v>
      </c>
      <c r="H1129" s="78">
        <f>G1129*0.25</f>
        <v>10000</v>
      </c>
      <c r="I1129" s="79">
        <f>H1129*3.67</f>
        <v>36700</v>
      </c>
      <c r="J1129" s="79">
        <f t="shared" si="12"/>
        <v>33286.9</v>
      </c>
      <c r="K1129" s="80"/>
      <c r="L1129" s="81" t="e">
        <f>(VLOOKUP(E1129,#REF!, 2, TRUE)-1)</f>
        <v>#REF!</v>
      </c>
      <c r="M1129" s="82" t="e">
        <f>(VLOOKUP(E1129,#REF!, 2,TRUE))*J1129*D1129</f>
        <v>#REF!</v>
      </c>
      <c r="O1129" s="84">
        <f>G1129*26*5</f>
        <v>5200000</v>
      </c>
      <c r="R1129" s="83" t="s">
        <v>1281</v>
      </c>
      <c r="S1129" s="83">
        <v>0</v>
      </c>
      <c r="T1129" s="83">
        <v>1</v>
      </c>
      <c r="U1129" s="1440" t="s">
        <v>1282</v>
      </c>
    </row>
    <row r="1130" spans="1:25">
      <c r="A1130" s="37" t="s">
        <v>1280</v>
      </c>
      <c r="B1130" s="72">
        <v>0</v>
      </c>
      <c r="C1130" s="73">
        <v>10</v>
      </c>
      <c r="D1130" s="74">
        <v>1</v>
      </c>
      <c r="E1130" s="75">
        <v>0.5</v>
      </c>
      <c r="F1130" s="76">
        <v>0.5</v>
      </c>
      <c r="G1130" s="77">
        <f>B1130*C1130</f>
        <v>0</v>
      </c>
      <c r="H1130" s="78">
        <f>G1130*0.25</f>
        <v>0</v>
      </c>
      <c r="I1130" s="79">
        <f>H1130*3.67</f>
        <v>0</v>
      </c>
      <c r="J1130" s="79">
        <f t="shared" si="12"/>
        <v>0</v>
      </c>
      <c r="K1130" s="80"/>
      <c r="L1130" s="81" t="e">
        <f>(VLOOKUP(E1130,#REF!, 2, TRUE)-1)</f>
        <v>#REF!</v>
      </c>
      <c r="M1130" s="82" t="e">
        <f>(VLOOKUP(E1130,#REF!, 2,TRUE))*J1130*D1130</f>
        <v>#REF!</v>
      </c>
      <c r="R1130" s="83" t="s">
        <v>1284</v>
      </c>
      <c r="S1130" s="83">
        <v>0.5</v>
      </c>
      <c r="T1130" s="83">
        <v>0.75</v>
      </c>
      <c r="U1130" s="1440" t="s">
        <v>1285</v>
      </c>
    </row>
    <row r="1131" spans="1:25">
      <c r="A1131" s="85"/>
      <c r="B1131" s="85"/>
      <c r="C1131" s="85"/>
      <c r="D1131" s="85"/>
      <c r="E1131" s="85"/>
      <c r="F1131" s="85"/>
      <c r="G1131" s="85"/>
      <c r="H1131" s="85"/>
      <c r="I1131" s="86"/>
      <c r="J1131" s="86"/>
      <c r="K1131" s="86"/>
      <c r="L1131" s="87"/>
      <c r="M1131" s="88" t="e">
        <f>SUM(M1126:M1130)</f>
        <v>#REF!</v>
      </c>
      <c r="N1131" s="46" t="s">
        <v>1283</v>
      </c>
      <c r="R1131" s="83" t="s">
        <v>1286</v>
      </c>
      <c r="S1131" s="83">
        <v>1</v>
      </c>
      <c r="T1131" s="83">
        <v>0.5</v>
      </c>
      <c r="U1131" s="1440" t="s">
        <v>1287</v>
      </c>
    </row>
    <row r="1132" spans="1:25" s="22" customFormat="1" ht="15.75">
      <c r="A1132"/>
      <c r="B1132"/>
      <c r="C1132"/>
      <c r="D1132"/>
      <c r="E1132"/>
      <c r="F1132"/>
      <c r="G1132"/>
      <c r="H1132"/>
      <c r="I1132" s="84"/>
      <c r="J1132" s="84"/>
      <c r="K1132" s="84"/>
      <c r="L1132" s="84"/>
      <c r="M1132" s="84"/>
      <c r="N1132"/>
      <c r="O1132"/>
      <c r="P1132"/>
      <c r="Q1132"/>
      <c r="U1132" s="1441"/>
      <c r="V1132" s="261"/>
      <c r="W1132" s="261"/>
    </row>
    <row r="1133" spans="1:25" s="22" customFormat="1" ht="32.25" thickBot="1">
      <c r="A1133" s="1933" t="s">
        <v>109</v>
      </c>
      <c r="B1133" s="1934"/>
      <c r="C1133" s="1934"/>
      <c r="D1133" s="1934"/>
      <c r="E1133" s="1934"/>
      <c r="F1133" s="1934"/>
      <c r="G1133" s="1934"/>
      <c r="H1133" s="1934"/>
      <c r="I1133" s="1934"/>
      <c r="J1133" s="1934"/>
      <c r="K1133" s="1934"/>
      <c r="L1133" s="1934"/>
      <c r="M1133" s="1934"/>
      <c r="N1133" s="1934"/>
      <c r="O1133" s="1934"/>
      <c r="P1133" s="1934"/>
      <c r="Q1133" s="1935"/>
      <c r="U1133" s="1441"/>
      <c r="V1133" s="261"/>
      <c r="W1133" s="261"/>
    </row>
    <row r="1134" spans="1:25" s="22" customFormat="1" ht="16.5" thickBot="1">
      <c r="A1134" s="431" t="s">
        <v>2047</v>
      </c>
      <c r="B1134" s="432" t="s">
        <v>2048</v>
      </c>
      <c r="C1134" s="433" t="s">
        <v>2049</v>
      </c>
      <c r="H1134" s="264"/>
      <c r="U1134" s="1441"/>
      <c r="V1134" s="261"/>
      <c r="W1134" s="261"/>
    </row>
    <row r="1135" spans="1:25" s="22" customFormat="1" ht="15.75">
      <c r="A1135" s="434" t="s">
        <v>2050</v>
      </c>
      <c r="B1135" s="435" t="s">
        <v>2051</v>
      </c>
      <c r="C1135" s="436">
        <v>1.2784999999999999E-3</v>
      </c>
      <c r="H1135" s="264"/>
      <c r="U1135" s="1441"/>
      <c r="V1135" s="261"/>
      <c r="W1135" s="261"/>
    </row>
    <row r="1136" spans="1:25" s="22" customFormat="1" ht="15.75">
      <c r="A1136" s="437" t="s">
        <v>2052</v>
      </c>
      <c r="B1136" s="438"/>
      <c r="C1136" s="439"/>
      <c r="H1136" s="264"/>
      <c r="U1136" s="1441"/>
      <c r="V1136" s="261"/>
      <c r="W1136" s="261"/>
    </row>
    <row r="1137" spans="1:23" s="22" customFormat="1" ht="16.5" thickBot="1">
      <c r="A1137" s="437"/>
      <c r="B1137" s="438"/>
      <c r="C1137" s="439"/>
      <c r="H1137" s="264"/>
      <c r="U1137" s="1441"/>
      <c r="V1137" s="261"/>
      <c r="W1137" s="261"/>
    </row>
    <row r="1138" spans="1:23" s="22" customFormat="1" ht="21.75" thickBot="1">
      <c r="A1138" s="1936" t="s">
        <v>827</v>
      </c>
      <c r="B1138" s="1937"/>
      <c r="H1138" s="264"/>
      <c r="U1138" s="1441"/>
      <c r="V1138" s="261"/>
      <c r="W1138" s="261"/>
    </row>
    <row r="1139" spans="1:23" s="22" customFormat="1" ht="15.75">
      <c r="A1139" s="440" t="s">
        <v>2053</v>
      </c>
      <c r="B1139" s="637" t="s">
        <v>2054</v>
      </c>
      <c r="C1139" s="638" t="s">
        <v>2055</v>
      </c>
      <c r="H1139" s="264"/>
      <c r="U1139" s="1441"/>
      <c r="V1139" s="261"/>
      <c r="W1139" s="261"/>
    </row>
    <row r="1140" spans="1:23" s="22" customFormat="1" ht="30">
      <c r="A1140" s="441" t="s">
        <v>2056</v>
      </c>
      <c r="B1140" s="635">
        <v>24.503</v>
      </c>
      <c r="C1140" s="634" t="s">
        <v>2057</v>
      </c>
      <c r="H1140" s="264"/>
      <c r="R1140" s="22" t="s">
        <v>2058</v>
      </c>
      <c r="U1140" s="1441"/>
      <c r="V1140" s="261"/>
      <c r="W1140" s="261"/>
    </row>
    <row r="1141" spans="1:23" s="22" customFormat="1" ht="45">
      <c r="A1141" s="441" t="s">
        <v>2059</v>
      </c>
      <c r="B1141" s="636">
        <v>23.561</v>
      </c>
      <c r="C1141" s="639" t="s">
        <v>2057</v>
      </c>
      <c r="D1141" s="444" t="s">
        <v>2060</v>
      </c>
      <c r="H1141" s="264"/>
      <c r="R1141" s="22" t="s">
        <v>2058</v>
      </c>
      <c r="U1141" s="1441"/>
      <c r="V1141" s="261"/>
      <c r="W1141" s="261"/>
    </row>
    <row r="1142" spans="1:23" s="22" customFormat="1" ht="15.75">
      <c r="A1142" s="441" t="s">
        <v>2061</v>
      </c>
      <c r="B1142" s="636">
        <v>4.496E-2</v>
      </c>
      <c r="C1142" s="640" t="s">
        <v>2049</v>
      </c>
      <c r="H1142" s="264"/>
      <c r="U1142" s="1441"/>
      <c r="V1142" s="261"/>
      <c r="W1142" s="261"/>
    </row>
    <row r="1143" spans="1:23" s="22" customFormat="1" ht="30.75" thickBot="1">
      <c r="A1143" s="445" t="s">
        <v>2062</v>
      </c>
      <c r="B1143" s="641">
        <v>2.7720000000000002E-2</v>
      </c>
      <c r="C1143" s="642" t="s">
        <v>2063</v>
      </c>
      <c r="H1143" s="264"/>
      <c r="K1143" s="261"/>
      <c r="L1143" s="261"/>
      <c r="U1143" s="1441"/>
      <c r="V1143" s="261"/>
      <c r="W1143" s="261"/>
    </row>
    <row r="1144" spans="1:23" s="22" customFormat="1" ht="15.75">
      <c r="A1144" s="443"/>
      <c r="B1144" s="209"/>
      <c r="C1144" s="443"/>
      <c r="H1144" s="264"/>
      <c r="K1144" s="261"/>
      <c r="L1144" s="261"/>
      <c r="U1144" s="1441"/>
      <c r="V1144" s="261"/>
      <c r="W1144" s="261"/>
    </row>
    <row r="1145" spans="1:23" s="22" customFormat="1" ht="15.75">
      <c r="A1145" s="446" t="s">
        <v>2064</v>
      </c>
      <c r="B1145" s="209"/>
      <c r="C1145" s="443"/>
      <c r="H1145" s="264"/>
      <c r="K1145" s="261"/>
      <c r="L1145" s="261"/>
      <c r="U1145" s="1441"/>
      <c r="V1145" s="261"/>
      <c r="W1145" s="261"/>
    </row>
    <row r="1146" spans="1:23" s="22" customFormat="1" ht="15.75">
      <c r="A1146" s="447"/>
      <c r="B1146" s="448"/>
      <c r="C1146" s="447"/>
      <c r="D1146" s="261"/>
      <c r="E1146" s="261"/>
      <c r="F1146" s="261"/>
      <c r="G1146" s="261"/>
      <c r="H1146" s="262"/>
      <c r="I1146" s="261"/>
      <c r="J1146" s="261"/>
      <c r="K1146" s="261"/>
      <c r="L1146" s="261"/>
      <c r="U1146" s="1441"/>
      <c r="V1146" s="261"/>
      <c r="W1146" s="261"/>
    </row>
    <row r="1147" spans="1:23" s="22" customFormat="1" ht="15.75">
      <c r="A1147" s="447"/>
      <c r="B1147" s="448"/>
      <c r="C1147" s="447"/>
      <c r="D1147" s="261"/>
      <c r="E1147" s="261"/>
      <c r="F1147" s="261"/>
      <c r="G1147" s="261"/>
      <c r="H1147" s="262"/>
      <c r="I1147" s="261"/>
      <c r="J1147" s="261"/>
      <c r="K1147" s="261"/>
      <c r="L1147" s="261"/>
      <c r="U1147" s="1441"/>
      <c r="V1147" s="261"/>
      <c r="W1147" s="261"/>
    </row>
    <row r="1148" spans="1:23" s="22" customFormat="1" ht="15.75">
      <c r="A1148" s="447"/>
      <c r="B1148" s="448"/>
      <c r="C1148" s="447"/>
      <c r="D1148" s="261"/>
      <c r="E1148" s="261"/>
      <c r="F1148" s="261"/>
      <c r="G1148" s="261"/>
      <c r="H1148" s="262"/>
      <c r="I1148" s="261"/>
      <c r="J1148" s="261"/>
      <c r="K1148" s="261"/>
      <c r="L1148" s="261"/>
      <c r="U1148" s="1441"/>
      <c r="V1148" s="261"/>
      <c r="W1148" s="261"/>
    </row>
    <row r="1149" spans="1:23" s="22" customFormat="1" ht="15.75">
      <c r="A1149" s="447"/>
      <c r="B1149" s="448"/>
      <c r="C1149" s="447"/>
      <c r="D1149" s="261"/>
      <c r="E1149" s="261"/>
      <c r="F1149" s="261"/>
      <c r="G1149" s="261"/>
      <c r="H1149" s="262"/>
      <c r="I1149" s="261"/>
      <c r="J1149" s="261"/>
      <c r="K1149" s="261"/>
      <c r="L1149" s="261"/>
      <c r="U1149" s="1441"/>
      <c r="V1149" s="261"/>
      <c r="W1149" s="261"/>
    </row>
    <row r="1150" spans="1:23" s="22" customFormat="1" ht="15.75">
      <c r="A1150" s="447"/>
      <c r="B1150" s="448"/>
      <c r="C1150" s="447"/>
      <c r="D1150" s="261"/>
      <c r="E1150" s="261"/>
      <c r="F1150" s="261"/>
      <c r="G1150" s="261"/>
      <c r="H1150" s="262"/>
      <c r="I1150" s="261"/>
      <c r="J1150" s="261"/>
      <c r="K1150" s="261"/>
      <c r="L1150" s="261"/>
      <c r="U1150" s="1441"/>
      <c r="V1150" s="261"/>
      <c r="W1150" s="261"/>
    </row>
    <row r="1151" spans="1:23" s="22" customFormat="1" ht="15.75">
      <c r="A1151" s="447"/>
      <c r="B1151" s="448"/>
      <c r="C1151" s="447"/>
      <c r="D1151" s="261"/>
      <c r="E1151" s="261"/>
      <c r="F1151" s="261"/>
      <c r="G1151" s="261"/>
      <c r="H1151" s="262"/>
      <c r="I1151" s="261"/>
      <c r="J1151" s="261"/>
      <c r="K1151" s="261"/>
      <c r="L1151" s="261"/>
      <c r="U1151" s="1441"/>
      <c r="V1151" s="261"/>
      <c r="W1151" s="261"/>
    </row>
    <row r="1152" spans="1:23" s="22" customFormat="1" ht="15.75">
      <c r="A1152" s="447"/>
      <c r="B1152" s="448"/>
      <c r="C1152" s="447"/>
      <c r="D1152" s="261"/>
      <c r="E1152" s="261"/>
      <c r="F1152" s="261"/>
      <c r="G1152" s="261"/>
      <c r="H1152" s="262"/>
      <c r="I1152" s="261"/>
      <c r="J1152" s="261"/>
      <c r="K1152" s="261"/>
      <c r="L1152" s="261"/>
      <c r="U1152" s="1441"/>
      <c r="V1152" s="261"/>
      <c r="W1152" s="261"/>
    </row>
    <row r="1153" spans="1:23" s="22" customFormat="1" ht="15.75">
      <c r="A1153" s="447"/>
      <c r="B1153" s="448"/>
      <c r="C1153" s="447"/>
      <c r="D1153" s="261"/>
      <c r="E1153" s="261"/>
      <c r="F1153" s="261"/>
      <c r="G1153" s="261"/>
      <c r="H1153" s="262"/>
      <c r="I1153" s="261"/>
      <c r="J1153" s="261"/>
      <c r="K1153" s="261"/>
      <c r="L1153" s="261"/>
      <c r="U1153" s="1441"/>
      <c r="V1153" s="261"/>
      <c r="W1153" s="261"/>
    </row>
    <row r="1154" spans="1:23" s="22" customFormat="1" ht="15.75">
      <c r="A1154" s="447"/>
      <c r="B1154" s="448"/>
      <c r="C1154" s="447"/>
      <c r="D1154" s="261"/>
      <c r="E1154" s="261"/>
      <c r="F1154" s="261"/>
      <c r="G1154" s="261"/>
      <c r="H1154" s="262"/>
      <c r="I1154" s="261"/>
      <c r="J1154" s="261"/>
      <c r="K1154" s="261"/>
      <c r="L1154" s="261"/>
      <c r="U1154" s="1441"/>
      <c r="V1154" s="261"/>
      <c r="W1154" s="261"/>
    </row>
    <row r="1155" spans="1:23" s="22" customFormat="1" ht="15.75">
      <c r="A1155" s="447"/>
      <c r="B1155" s="448"/>
      <c r="C1155" s="447"/>
      <c r="D1155" s="261"/>
      <c r="E1155" s="261"/>
      <c r="F1155" s="261"/>
      <c r="G1155" s="261"/>
      <c r="H1155" s="262"/>
      <c r="I1155" s="261"/>
      <c r="J1155" s="261"/>
      <c r="K1155" s="261"/>
      <c r="L1155" s="261"/>
      <c r="U1155" s="1441"/>
      <c r="V1155" s="261"/>
      <c r="W1155" s="261"/>
    </row>
    <row r="1156" spans="1:23" s="22" customFormat="1" ht="15.75">
      <c r="A1156" s="447"/>
      <c r="B1156" s="448"/>
      <c r="C1156" s="447"/>
      <c r="D1156" s="261"/>
      <c r="E1156" s="261"/>
      <c r="F1156" s="261"/>
      <c r="G1156" s="261"/>
      <c r="H1156" s="262"/>
      <c r="I1156" s="261"/>
      <c r="J1156" s="261"/>
      <c r="K1156" s="261"/>
      <c r="L1156" s="261"/>
      <c r="U1156" s="1441"/>
      <c r="V1156" s="261"/>
      <c r="W1156" s="261"/>
    </row>
    <row r="1157" spans="1:23" s="22" customFormat="1" ht="15.75">
      <c r="A1157" s="447"/>
      <c r="B1157" s="448"/>
      <c r="C1157" s="447"/>
      <c r="D1157" s="261"/>
      <c r="E1157" s="261"/>
      <c r="F1157" s="261"/>
      <c r="G1157" s="261"/>
      <c r="H1157" s="262"/>
      <c r="I1157" s="261"/>
      <c r="J1157" s="261"/>
      <c r="K1157" s="261"/>
      <c r="L1157" s="261"/>
      <c r="U1157" s="1441"/>
      <c r="V1157" s="261"/>
      <c r="W1157" s="261"/>
    </row>
    <row r="1158" spans="1:23" s="22" customFormat="1" ht="15.75">
      <c r="A1158" s="447"/>
      <c r="B1158" s="448"/>
      <c r="C1158" s="447"/>
      <c r="D1158" s="261"/>
      <c r="E1158" s="261"/>
      <c r="F1158" s="261"/>
      <c r="G1158" s="261"/>
      <c r="H1158" s="262"/>
      <c r="I1158" s="261"/>
      <c r="J1158" s="261"/>
      <c r="K1158" s="261"/>
      <c r="L1158" s="261"/>
      <c r="U1158" s="1441"/>
      <c r="V1158" s="261"/>
      <c r="W1158" s="261"/>
    </row>
    <row r="1159" spans="1:23" s="22" customFormat="1" ht="15.75">
      <c r="A1159" s="447"/>
      <c r="B1159" s="448"/>
      <c r="C1159" s="447"/>
      <c r="D1159" s="261"/>
      <c r="E1159" s="261"/>
      <c r="F1159" s="261"/>
      <c r="G1159" s="261"/>
      <c r="H1159" s="262"/>
      <c r="I1159" s="261"/>
      <c r="J1159" s="261"/>
      <c r="K1159" s="261"/>
      <c r="L1159" s="261"/>
      <c r="U1159" s="1441"/>
      <c r="V1159" s="261"/>
      <c r="W1159" s="261"/>
    </row>
    <row r="1160" spans="1:23" s="22" customFormat="1" ht="15.75">
      <c r="A1160" s="447"/>
      <c r="B1160" s="448"/>
      <c r="C1160" s="447"/>
      <c r="D1160" s="261"/>
      <c r="E1160" s="261"/>
      <c r="F1160" s="261"/>
      <c r="G1160" s="261"/>
      <c r="H1160" s="262"/>
      <c r="I1160" s="261"/>
      <c r="J1160" s="261"/>
      <c r="K1160" s="261"/>
      <c r="L1160" s="261"/>
      <c r="U1160" s="1441"/>
      <c r="V1160" s="261"/>
      <c r="W1160" s="261"/>
    </row>
    <row r="1161" spans="1:23" s="22" customFormat="1" ht="15.75">
      <c r="A1161" s="1801"/>
      <c r="B1161" s="1801"/>
      <c r="C1161" s="1801"/>
      <c r="D1161" s="1801"/>
      <c r="E1161" s="1801"/>
      <c r="F1161" s="1801"/>
      <c r="G1161" s="1801"/>
      <c r="H1161" s="1801"/>
      <c r="I1161" s="1801"/>
      <c r="J1161" s="1801"/>
      <c r="K1161" s="261"/>
      <c r="L1161" s="261"/>
      <c r="U1161" s="1441"/>
      <c r="V1161" s="261"/>
      <c r="W1161" s="261"/>
    </row>
    <row r="1162" spans="1:23" s="22" customFormat="1" ht="16.5" thickBot="1">
      <c r="D1162" s="261"/>
      <c r="H1162" s="264"/>
      <c r="K1162" s="261"/>
      <c r="L1162" s="261"/>
      <c r="U1162" s="1441"/>
      <c r="V1162" s="261"/>
      <c r="W1162" s="261"/>
    </row>
    <row r="1163" spans="1:23" ht="21.75" thickBot="1">
      <c r="A1163" s="1830" t="s">
        <v>2065</v>
      </c>
      <c r="B1163" s="1832"/>
      <c r="C1163" s="22"/>
      <c r="D1163" s="22"/>
      <c r="E1163" s="22"/>
      <c r="F1163" s="22"/>
      <c r="G1163" s="22"/>
      <c r="H1163" s="264"/>
      <c r="I1163" s="22"/>
      <c r="J1163" s="22"/>
      <c r="K1163" s="261"/>
      <c r="L1163" s="261"/>
      <c r="M1163" s="22"/>
      <c r="N1163" s="22"/>
      <c r="O1163" s="22"/>
      <c r="P1163" s="22"/>
      <c r="Q1163" s="22"/>
    </row>
    <row r="1164" spans="1:23" s="22" customFormat="1" ht="16.5" thickBot="1">
      <c r="A1164"/>
      <c r="B1164"/>
      <c r="C1164"/>
      <c r="D1164"/>
      <c r="E1164"/>
      <c r="F1164"/>
      <c r="G1164"/>
      <c r="H1164"/>
      <c r="I1164"/>
      <c r="J1164"/>
      <c r="K1164" s="7"/>
      <c r="L1164" s="7"/>
      <c r="M1164"/>
      <c r="N1164"/>
      <c r="O1164"/>
      <c r="P1164"/>
      <c r="Q1164"/>
      <c r="U1164" s="1441"/>
      <c r="V1164" s="261"/>
      <c r="W1164" s="261"/>
    </row>
    <row r="1165" spans="1:23" s="22" customFormat="1" ht="15.75">
      <c r="A1165" s="449" t="s">
        <v>2066</v>
      </c>
      <c r="B1165" s="432" t="s">
        <v>2067</v>
      </c>
      <c r="C1165" s="450" t="s">
        <v>2068</v>
      </c>
      <c r="H1165" s="264"/>
      <c r="K1165" s="261"/>
      <c r="L1165" s="261"/>
      <c r="U1165" s="1441"/>
      <c r="V1165" s="261"/>
      <c r="W1165" s="261"/>
    </row>
    <row r="1166" spans="1:23" s="22" customFormat="1" ht="15.75">
      <c r="A1166" s="451" t="s">
        <v>870</v>
      </c>
      <c r="B1166" s="1527" t="s">
        <v>2069</v>
      </c>
      <c r="C1166" s="452">
        <v>6.6913999999999998</v>
      </c>
      <c r="D1166" s="261"/>
      <c r="E1166" s="22" t="s">
        <v>2070</v>
      </c>
      <c r="H1166" s="264"/>
      <c r="K1166" s="261"/>
      <c r="L1166" s="261"/>
      <c r="U1166" s="1441" t="s">
        <v>1421</v>
      </c>
      <c r="V1166" s="261"/>
      <c r="W1166" s="261"/>
    </row>
    <row r="1167" spans="1:23" s="22" customFormat="1" ht="15.75">
      <c r="A1167" s="451" t="s">
        <v>865</v>
      </c>
      <c r="B1167" s="1527" t="s">
        <v>2071</v>
      </c>
      <c r="C1167" s="453">
        <v>0.19200999999999999</v>
      </c>
      <c r="D1167" s="261"/>
      <c r="H1167" s="264"/>
      <c r="K1167" s="261"/>
      <c r="L1167" s="261"/>
      <c r="U1167" s="1441" t="s">
        <v>1421</v>
      </c>
      <c r="V1167" s="261"/>
      <c r="W1167" s="261"/>
    </row>
    <row r="1168" spans="1:23" s="22" customFormat="1" ht="15.75">
      <c r="A1168" s="451" t="s">
        <v>867</v>
      </c>
      <c r="B1168" s="1527" t="s">
        <v>2072</v>
      </c>
      <c r="C1168" s="453">
        <v>6.2092999999999998</v>
      </c>
      <c r="D1168" s="261"/>
      <c r="H1168" s="264"/>
      <c r="K1168" s="261"/>
      <c r="L1168" s="261"/>
      <c r="U1168" s="1441" t="s">
        <v>1421</v>
      </c>
      <c r="V1168" s="261"/>
      <c r="W1168" s="261"/>
    </row>
    <row r="1169" spans="1:23" s="22" customFormat="1" ht="16.5">
      <c r="A1169" s="451" t="s">
        <v>872</v>
      </c>
      <c r="B1169" s="1527" t="s">
        <v>2073</v>
      </c>
      <c r="C1169" s="454">
        <v>5.0282999999999998</v>
      </c>
      <c r="D1169" s="261"/>
      <c r="H1169" s="264"/>
      <c r="K1169" s="261"/>
      <c r="L1169" s="261"/>
      <c r="U1169" s="1441" t="s">
        <v>1421</v>
      </c>
      <c r="V1169" s="261"/>
      <c r="W1169" s="261"/>
    </row>
    <row r="1170" spans="1:23" s="22" customFormat="1" ht="16.5">
      <c r="A1170" s="451" t="s">
        <v>873</v>
      </c>
      <c r="B1170" s="1527" t="s">
        <v>2074</v>
      </c>
      <c r="C1170" s="454">
        <v>8.7301000000000002</v>
      </c>
      <c r="D1170" s="261"/>
      <c r="H1170" s="264"/>
      <c r="U1170" s="1441" t="s">
        <v>1421</v>
      </c>
      <c r="V1170" s="261"/>
      <c r="W1170" s="261"/>
    </row>
    <row r="1171" spans="1:23" s="22" customFormat="1" ht="16.5">
      <c r="A1171" s="455" t="s">
        <v>874</v>
      </c>
      <c r="B1171" s="1527" t="s">
        <v>2075</v>
      </c>
      <c r="C1171" s="454">
        <v>1.1169</v>
      </c>
      <c r="D1171" s="261"/>
      <c r="H1171" s="264"/>
      <c r="U1171" s="1441" t="s">
        <v>1421</v>
      </c>
      <c r="V1171" s="261"/>
      <c r="W1171" s="261"/>
    </row>
    <row r="1172" spans="1:23" s="22" customFormat="1" ht="15.75">
      <c r="A1172" s="451" t="s">
        <v>875</v>
      </c>
      <c r="B1172" s="1527" t="s">
        <v>2076</v>
      </c>
      <c r="C1172" s="453">
        <v>1.4576</v>
      </c>
      <c r="D1172" s="261"/>
      <c r="H1172" s="264"/>
      <c r="U1172" s="1441" t="s">
        <v>1421</v>
      </c>
      <c r="V1172" s="261"/>
      <c r="W1172" s="261"/>
    </row>
    <row r="1173" spans="1:23" s="22" customFormat="1" ht="16.5">
      <c r="A1173" s="451" t="s">
        <v>877</v>
      </c>
      <c r="B1173" s="1527" t="s">
        <v>2077</v>
      </c>
      <c r="C1173" s="454">
        <v>13.768000000000001</v>
      </c>
      <c r="D1173" s="261"/>
      <c r="H1173" s="264"/>
      <c r="U1173" s="1441" t="s">
        <v>1421</v>
      </c>
      <c r="V1173" s="261"/>
      <c r="W1173" s="261"/>
    </row>
    <row r="1174" spans="1:23" s="22" customFormat="1" ht="17.25" thickBot="1">
      <c r="A1174" s="456" t="s">
        <v>2078</v>
      </c>
      <c r="B1174" s="1528" t="s">
        <v>2079</v>
      </c>
      <c r="C1174" s="457">
        <v>11.222</v>
      </c>
      <c r="D1174" s="261"/>
      <c r="H1174" s="264"/>
      <c r="U1174" s="1441" t="s">
        <v>1421</v>
      </c>
      <c r="V1174" s="261"/>
      <c r="W1174" s="261"/>
    </row>
    <row r="1175" spans="1:23" s="22" customFormat="1" ht="17.25" thickBot="1">
      <c r="A1175" s="1386"/>
      <c r="B1175" s="1547"/>
      <c r="C1175" s="1387"/>
      <c r="H1175" s="264"/>
      <c r="U1175" s="1441"/>
      <c r="V1175" s="261"/>
      <c r="W1175" s="261"/>
    </row>
    <row r="1176" spans="1:23" ht="21.75" thickBot="1">
      <c r="A1176" s="1830" t="s">
        <v>826</v>
      </c>
      <c r="B1176" s="1831"/>
      <c r="C1176" s="1831"/>
      <c r="D1176" s="1832"/>
      <c r="E1176" s="22"/>
      <c r="F1176" s="22"/>
      <c r="G1176" s="22"/>
      <c r="H1176" s="264"/>
      <c r="I1176" s="22"/>
      <c r="J1176" s="22"/>
      <c r="K1176" s="22"/>
      <c r="L1176" s="22"/>
      <c r="M1176" s="22"/>
      <c r="N1176" s="22"/>
      <c r="O1176" s="22"/>
      <c r="P1176" s="22"/>
      <c r="Q1176" s="22"/>
    </row>
    <row r="1177" spans="1:23" s="22" customFormat="1" ht="16.5" thickBot="1">
      <c r="A1177"/>
      <c r="B1177"/>
      <c r="C1177"/>
      <c r="D1177"/>
      <c r="F1177"/>
      <c r="G1177"/>
      <c r="H1177"/>
      <c r="I1177"/>
      <c r="J1177"/>
      <c r="K1177"/>
      <c r="L1177"/>
      <c r="M1177"/>
      <c r="N1177"/>
      <c r="O1177"/>
      <c r="P1177"/>
      <c r="Q1177"/>
      <c r="U1177" s="1441"/>
      <c r="V1177" s="261"/>
      <c r="W1177" s="261"/>
    </row>
    <row r="1178" spans="1:23" s="22" customFormat="1" ht="15.75">
      <c r="A1178" s="449" t="s">
        <v>923</v>
      </c>
      <c r="B1178" s="432" t="s">
        <v>2080</v>
      </c>
      <c r="C1178" s="449" t="s">
        <v>2081</v>
      </c>
      <c r="D1178" s="262"/>
      <c r="S1178" s="1284"/>
      <c r="T1178" s="1284"/>
      <c r="U1178" s="1441"/>
      <c r="V1178" s="261"/>
      <c r="W1178" s="261"/>
    </row>
    <row r="1179" spans="1:23" s="22" customFormat="1" ht="15.75">
      <c r="A1179" s="458" t="s">
        <v>2082</v>
      </c>
      <c r="B1179" s="1247" t="s">
        <v>2083</v>
      </c>
      <c r="C1179" s="459">
        <v>7.5773000000000001</v>
      </c>
      <c r="D1179" s="262"/>
      <c r="S1179" s="1284"/>
      <c r="T1179" s="1284"/>
      <c r="U1179" s="1441" t="s">
        <v>1421</v>
      </c>
      <c r="V1179" s="261"/>
      <c r="W1179" s="261"/>
    </row>
    <row r="1180" spans="1:23" s="22" customFormat="1" ht="15.75">
      <c r="A1180" s="458" t="s">
        <v>2084</v>
      </c>
      <c r="B1180" s="1247" t="s">
        <v>2085</v>
      </c>
      <c r="C1180" s="459">
        <v>7.5773000000000001</v>
      </c>
      <c r="D1180" s="262"/>
      <c r="S1180" s="1284"/>
      <c r="T1180" s="1284"/>
      <c r="U1180" s="1441" t="s">
        <v>2086</v>
      </c>
      <c r="V1180" s="261"/>
      <c r="W1180" s="261"/>
    </row>
    <row r="1181" spans="1:23" s="22" customFormat="1" ht="15.75">
      <c r="A1181" s="458" t="s">
        <v>2087</v>
      </c>
      <c r="B1181" s="1247" t="s">
        <v>2088</v>
      </c>
      <c r="C1181" s="459">
        <f>F1181/500</f>
        <v>0.18580199999999999</v>
      </c>
      <c r="D1181" s="262"/>
      <c r="E1181" s="22" t="s">
        <v>2089</v>
      </c>
      <c r="F1181" s="22">
        <v>92.900999999999996</v>
      </c>
      <c r="S1181" s="1284"/>
      <c r="T1181" s="1284"/>
      <c r="U1181" s="1441" t="s">
        <v>2090</v>
      </c>
      <c r="V1181" s="261"/>
      <c r="W1181" s="261"/>
    </row>
    <row r="1182" spans="1:23" s="22" customFormat="1" ht="15.75">
      <c r="A1182" s="458" t="s">
        <v>2091</v>
      </c>
      <c r="B1182" s="1247" t="s">
        <v>2072</v>
      </c>
      <c r="C1182" s="459">
        <v>6.2092999999999998</v>
      </c>
      <c r="D1182" s="262"/>
      <c r="E1182" s="22" t="s">
        <v>2092</v>
      </c>
      <c r="S1182" s="1284"/>
      <c r="T1182" s="1284"/>
      <c r="U1182" s="1441" t="s">
        <v>2093</v>
      </c>
      <c r="V1182" s="261"/>
      <c r="W1182" s="261"/>
    </row>
    <row r="1183" spans="1:23" s="22" customFormat="1" ht="15.75">
      <c r="A1183" s="458" t="s">
        <v>2094</v>
      </c>
      <c r="B1183" s="1247" t="s">
        <v>2095</v>
      </c>
      <c r="C1183" s="459">
        <v>7.9320000000000002E-2</v>
      </c>
      <c r="D1183" s="262"/>
      <c r="S1183" s="1284"/>
      <c r="T1183" s="1284"/>
      <c r="U1183" s="1441" t="s">
        <v>2096</v>
      </c>
      <c r="V1183" s="261"/>
      <c r="W1183" s="261"/>
    </row>
    <row r="1184" spans="1:23" s="22" customFormat="1" ht="15.75">
      <c r="A1184" s="1385" t="s">
        <v>2097</v>
      </c>
      <c r="B1184" s="1247" t="s">
        <v>2098</v>
      </c>
      <c r="C1184" s="1384">
        <v>247.49</v>
      </c>
      <c r="D1184" s="22" t="s">
        <v>2099</v>
      </c>
      <c r="S1184" s="1284"/>
      <c r="T1184" s="1284"/>
      <c r="U1184" s="1441" t="s">
        <v>2100</v>
      </c>
      <c r="V1184" s="261"/>
      <c r="W1184" s="261"/>
    </row>
    <row r="1185" spans="1:23" s="22" customFormat="1" ht="15.75">
      <c r="A1185" s="460"/>
      <c r="B1185" s="287"/>
      <c r="C1185" s="287"/>
      <c r="D1185" s="287"/>
      <c r="H1185" s="264"/>
      <c r="U1185" s="1441"/>
      <c r="V1185" s="261"/>
      <c r="W1185" s="261"/>
    </row>
    <row r="1186" spans="1:23" s="22" customFormat="1" ht="15.75">
      <c r="A1186" s="449" t="s">
        <v>923</v>
      </c>
      <c r="B1186" s="461" t="s">
        <v>2101</v>
      </c>
      <c r="C1186" s="449" t="s">
        <v>2102</v>
      </c>
      <c r="D1186" s="449" t="s">
        <v>2068</v>
      </c>
      <c r="H1186" s="264"/>
      <c r="U1186" s="1441"/>
      <c r="V1186" s="261"/>
      <c r="W1186" s="261"/>
    </row>
    <row r="1187" spans="1:23" s="22" customFormat="1" ht="30">
      <c r="A1187" s="460" t="s">
        <v>2103</v>
      </c>
      <c r="B1187" s="462" t="s">
        <v>2104</v>
      </c>
      <c r="C1187" s="428">
        <v>2.92</v>
      </c>
      <c r="D1187" s="5">
        <f>C1187*0.00110231</f>
        <v>3.2187451999999999E-3</v>
      </c>
      <c r="H1187" s="264"/>
      <c r="U1187" s="1441"/>
      <c r="V1187" s="261"/>
      <c r="W1187" s="261"/>
    </row>
    <row r="1188" spans="1:23" s="22" customFormat="1" ht="16.5" thickBot="1">
      <c r="A1188" s="460"/>
      <c r="B1188" s="287"/>
      <c r="C1188" s="287"/>
      <c r="D1188" s="287"/>
      <c r="H1188" s="264"/>
      <c r="U1188" s="1441"/>
      <c r="V1188" s="261"/>
      <c r="W1188" s="261"/>
    </row>
    <row r="1189" spans="1:23" ht="21.75" thickBot="1">
      <c r="A1189" s="1830" t="s">
        <v>830</v>
      </c>
      <c r="B1189" s="1831"/>
      <c r="C1189" s="1831"/>
      <c r="D1189" s="1832"/>
      <c r="E1189" s="22"/>
      <c r="F1189" s="22"/>
      <c r="G1189" s="22"/>
      <c r="H1189" s="264"/>
      <c r="I1189" s="22"/>
      <c r="J1189" s="22"/>
      <c r="K1189" s="22"/>
      <c r="L1189" s="22"/>
      <c r="M1189" s="22"/>
      <c r="N1189" s="22"/>
      <c r="O1189" s="22"/>
      <c r="P1189" s="22"/>
      <c r="Q1189" s="22"/>
    </row>
    <row r="1190" spans="1:23" s="22" customFormat="1" ht="16.5" thickBot="1">
      <c r="A1190"/>
      <c r="B1190"/>
      <c r="C1190"/>
      <c r="D1190"/>
      <c r="E1190"/>
      <c r="F1190"/>
      <c r="G1190"/>
      <c r="H1190"/>
      <c r="I1190"/>
      <c r="J1190"/>
      <c r="K1190"/>
      <c r="L1190"/>
      <c r="M1190"/>
      <c r="N1190"/>
      <c r="O1190"/>
      <c r="P1190"/>
      <c r="Q1190"/>
      <c r="U1190" s="1441"/>
      <c r="V1190" s="261"/>
      <c r="W1190" s="261"/>
    </row>
    <row r="1191" spans="1:23" s="22" customFormat="1" ht="15.75">
      <c r="A1191" s="463" t="s">
        <v>2105</v>
      </c>
      <c r="B1191" s="432" t="s">
        <v>2106</v>
      </c>
      <c r="C1191" s="464" t="s">
        <v>2068</v>
      </c>
      <c r="D1191" s="261"/>
      <c r="G1191" s="264"/>
      <c r="U1191" s="1441"/>
      <c r="V1191" s="261"/>
      <c r="W1191" s="261"/>
    </row>
    <row r="1192" spans="1:23" s="22" customFormat="1" ht="15.75">
      <c r="A1192" s="465" t="s">
        <v>916</v>
      </c>
      <c r="B1192" s="466" t="s">
        <v>2107</v>
      </c>
      <c r="C1192" s="452">
        <v>2.7496999999999998</v>
      </c>
      <c r="D1192" s="261"/>
      <c r="G1192" s="264"/>
      <c r="U1192" s="1441"/>
      <c r="V1192" s="261"/>
      <c r="W1192" s="261"/>
    </row>
    <row r="1193" spans="1:23" s="22" customFormat="1" ht="16.5" thickBot="1">
      <c r="A1193" s="467" t="s">
        <v>917</v>
      </c>
      <c r="B1193" s="468" t="s">
        <v>2108</v>
      </c>
      <c r="C1193" s="469">
        <v>0.64883000000000002</v>
      </c>
      <c r="D1193" s="261"/>
      <c r="G1193" s="264"/>
      <c r="U1193" s="1441"/>
      <c r="V1193" s="261"/>
      <c r="W1193" s="261"/>
    </row>
    <row r="1194" spans="1:23" s="22" customFormat="1" ht="16.5" thickBot="1">
      <c r="D1194" s="261"/>
      <c r="H1194" s="264"/>
      <c r="U1194" s="1441"/>
      <c r="V1194" s="261"/>
      <c r="W1194" s="261"/>
    </row>
    <row r="1195" spans="1:23" s="22" customFormat="1" ht="21.75" thickBot="1">
      <c r="A1195" s="1830" t="s">
        <v>829</v>
      </c>
      <c r="B1195" s="1831"/>
      <c r="C1195" s="1831"/>
      <c r="D1195" s="1832"/>
      <c r="H1195" s="264"/>
      <c r="U1195" s="1441"/>
      <c r="V1195" s="261"/>
      <c r="W1195" s="261"/>
    </row>
    <row r="1196" spans="1:23" s="22" customFormat="1" ht="16.5" thickBot="1">
      <c r="H1196" s="264"/>
      <c r="U1196" s="1441"/>
      <c r="V1196" s="261"/>
      <c r="W1196" s="261"/>
    </row>
    <row r="1197" spans="1:23" s="22" customFormat="1" ht="15.75">
      <c r="A1197" s="470" t="s">
        <v>923</v>
      </c>
      <c r="B1197" s="471" t="s">
        <v>2109</v>
      </c>
      <c r="C1197" s="470" t="s">
        <v>2068</v>
      </c>
      <c r="D1197" s="261"/>
      <c r="H1197" s="264"/>
      <c r="U1197" s="1441"/>
      <c r="V1197" s="261"/>
      <c r="W1197" s="261"/>
    </row>
    <row r="1198" spans="1:23" s="22" customFormat="1" ht="15.75">
      <c r="A1198" s="472" t="s">
        <v>2110</v>
      </c>
      <c r="B1198" s="1545" t="s">
        <v>2111</v>
      </c>
      <c r="C1198" s="473">
        <v>1.1255999999999999</v>
      </c>
      <c r="D1198" s="261"/>
      <c r="H1198" s="264"/>
      <c r="U1198" s="1441"/>
      <c r="V1198" s="261"/>
      <c r="W1198" s="261"/>
    </row>
    <row r="1199" spans="1:23" s="22" customFormat="1" ht="15.75">
      <c r="A1199" s="472" t="s">
        <v>2112</v>
      </c>
      <c r="B1199" s="1545" t="s">
        <v>2111</v>
      </c>
      <c r="C1199" s="473">
        <v>1.1255999999999999</v>
      </c>
      <c r="D1199" s="261"/>
      <c r="H1199" s="264"/>
      <c r="U1199" s="1441"/>
      <c r="V1199" s="261"/>
      <c r="W1199" s="261"/>
    </row>
    <row r="1200" spans="1:23" s="22" customFormat="1" ht="15.75">
      <c r="A1200" s="472" t="s">
        <v>2113</v>
      </c>
      <c r="B1200" s="1545" t="s">
        <v>2114</v>
      </c>
      <c r="C1200" s="473">
        <v>6.0490000000000004</v>
      </c>
      <c r="D1200" s="261"/>
      <c r="H1200" s="264"/>
      <c r="U1200" s="1441"/>
      <c r="V1200" s="261"/>
      <c r="W1200" s="261"/>
    </row>
    <row r="1201" spans="1:23" s="22" customFormat="1" ht="15.75">
      <c r="A1201" s="472" t="s">
        <v>907</v>
      </c>
      <c r="B1201" s="1545" t="s">
        <v>2115</v>
      </c>
      <c r="C1201" s="473">
        <v>2.5316000000000001</v>
      </c>
      <c r="D1201" s="261"/>
      <c r="H1201" s="264"/>
      <c r="U1201" s="1441"/>
      <c r="V1201" s="261"/>
      <c r="W1201" s="261"/>
    </row>
    <row r="1202" spans="1:23" s="22" customFormat="1" ht="15.75">
      <c r="A1202" s="472" t="s">
        <v>908</v>
      </c>
      <c r="B1202" s="1545" t="s">
        <v>2116</v>
      </c>
      <c r="C1202" s="473">
        <v>10.045999999999999</v>
      </c>
      <c r="D1202" s="261"/>
      <c r="H1202" s="264"/>
      <c r="U1202" s="1441"/>
      <c r="V1202" s="261"/>
      <c r="W1202" s="261"/>
    </row>
    <row r="1203" spans="1:23" s="22" customFormat="1" ht="15.75">
      <c r="A1203" s="472" t="s">
        <v>2117</v>
      </c>
      <c r="B1203" s="1545" t="s">
        <v>2118</v>
      </c>
      <c r="C1203" s="473">
        <v>0.46638000000000002</v>
      </c>
      <c r="D1203" s="261"/>
      <c r="H1203" s="264"/>
      <c r="U1203" s="1441"/>
      <c r="V1203" s="261"/>
      <c r="W1203" s="261"/>
    </row>
    <row r="1204" spans="1:23" s="22" customFormat="1" ht="15.75">
      <c r="A1204" s="472" t="s">
        <v>2119</v>
      </c>
      <c r="B1204" s="1545" t="s">
        <v>2120</v>
      </c>
      <c r="C1204" s="473">
        <v>11.952</v>
      </c>
      <c r="D1204" s="261"/>
      <c r="E1204" s="1383"/>
      <c r="H1204" s="264"/>
      <c r="U1204" s="1441"/>
      <c r="V1204" s="261"/>
      <c r="W1204" s="261"/>
    </row>
    <row r="1205" spans="1:23" s="22" customFormat="1" ht="15.75">
      <c r="A1205" s="472" t="s">
        <v>2121</v>
      </c>
      <c r="B1205" s="1545" t="s">
        <v>2122</v>
      </c>
      <c r="C1205" s="473">
        <v>0.44951999999999998</v>
      </c>
      <c r="D1205" s="261"/>
      <c r="H1205" s="264"/>
      <c r="U1205" s="1441"/>
      <c r="V1205" s="261"/>
      <c r="W1205" s="261"/>
    </row>
    <row r="1206" spans="1:23" s="22" customFormat="1" ht="15.75">
      <c r="A1206" s="472" t="s">
        <v>2123</v>
      </c>
      <c r="B1206" s="1545" t="s">
        <v>2124</v>
      </c>
      <c r="C1206" s="473">
        <v>5.0636999999999999</v>
      </c>
      <c r="D1206" s="261"/>
      <c r="H1206" s="264"/>
      <c r="U1206" s="1441"/>
      <c r="V1206" s="261"/>
      <c r="W1206" s="261"/>
    </row>
    <row r="1207" spans="1:23" s="22" customFormat="1" ht="15.75">
      <c r="A1207" s="472" t="s">
        <v>2125</v>
      </c>
      <c r="B1207" s="1545" t="s">
        <v>2126</v>
      </c>
      <c r="C1207" s="473">
        <v>3.1608000000000001</v>
      </c>
      <c r="D1207" s="261"/>
      <c r="H1207" s="264"/>
      <c r="U1207" s="1441"/>
      <c r="V1207" s="261"/>
      <c r="W1207" s="261"/>
    </row>
    <row r="1208" spans="1:23" s="22" customFormat="1" ht="30.75" thickBot="1">
      <c r="A1208" s="474" t="s">
        <v>2127</v>
      </c>
      <c r="B1208" s="1546" t="s">
        <v>2128</v>
      </c>
      <c r="C1208" s="475">
        <v>0.31363999999999997</v>
      </c>
      <c r="D1208" s="1189" t="s">
        <v>2129</v>
      </c>
      <c r="H1208" s="264"/>
      <c r="U1208" s="1441"/>
      <c r="V1208" s="261"/>
      <c r="W1208" s="261"/>
    </row>
    <row r="1209" spans="1:23" s="22" customFormat="1" ht="16.5" thickBot="1">
      <c r="D1209" s="261"/>
      <c r="H1209" s="264"/>
      <c r="U1209" s="1441"/>
      <c r="V1209" s="261"/>
      <c r="W1209" s="261"/>
    </row>
    <row r="1210" spans="1:23" s="22" customFormat="1" ht="21.75" thickBot="1">
      <c r="A1210" s="1830" t="s">
        <v>2130</v>
      </c>
      <c r="B1210" s="1831"/>
      <c r="C1210" s="1831"/>
      <c r="D1210" s="1832"/>
      <c r="H1210" s="264"/>
      <c r="U1210" s="1441"/>
      <c r="V1210" s="261"/>
      <c r="W1210" s="261"/>
    </row>
    <row r="1211" spans="1:23" s="22" customFormat="1" ht="16.5" thickBot="1">
      <c r="H1211" s="264"/>
      <c r="U1211" s="1441"/>
      <c r="V1211" s="261"/>
      <c r="W1211" s="261"/>
    </row>
    <row r="1212" spans="1:23" s="22" customFormat="1" ht="31.5">
      <c r="A1212" s="470" t="s">
        <v>923</v>
      </c>
      <c r="B1212" s="432" t="s">
        <v>2067</v>
      </c>
      <c r="C1212" s="471" t="s">
        <v>2131</v>
      </c>
      <c r="D1212" s="261"/>
      <c r="H1212" s="264"/>
      <c r="U1212" s="1441"/>
      <c r="V1212" s="261"/>
      <c r="W1212" s="261"/>
    </row>
    <row r="1213" spans="1:23" s="22" customFormat="1" ht="15.75">
      <c r="A1213" s="472" t="s">
        <v>2132</v>
      </c>
      <c r="B1213" s="1545" t="s">
        <v>2133</v>
      </c>
      <c r="C1213" s="473">
        <v>3.7867999999999999</v>
      </c>
      <c r="D1213" s="261"/>
      <c r="H1213" s="264"/>
      <c r="U1213" s="1441"/>
      <c r="V1213" s="261"/>
      <c r="W1213" s="261"/>
    </row>
    <row r="1214" spans="1:23" s="22" customFormat="1" ht="15.75">
      <c r="A1214" s="472" t="s">
        <v>2134</v>
      </c>
      <c r="B1214" s="1545" t="s">
        <v>2135</v>
      </c>
      <c r="C1214" s="473">
        <v>3.7147999999999999</v>
      </c>
      <c r="D1214" s="261"/>
      <c r="H1214" s="264"/>
      <c r="U1214" s="1441"/>
      <c r="V1214" s="261"/>
      <c r="W1214" s="261"/>
    </row>
    <row r="1215" spans="1:23" s="22" customFormat="1" ht="15.75">
      <c r="A1215" s="472" t="s">
        <v>2136</v>
      </c>
      <c r="B1215" s="1545" t="s">
        <v>2137</v>
      </c>
      <c r="C1215" s="473">
        <v>1.6063000000000001</v>
      </c>
      <c r="D1215" s="261"/>
      <c r="H1215" s="264"/>
      <c r="U1215" s="1441"/>
      <c r="V1215" s="261"/>
      <c r="W1215" s="261"/>
    </row>
    <row r="1216" spans="1:23" s="22" customFormat="1" ht="15.75">
      <c r="A1216" s="472" t="s">
        <v>2138</v>
      </c>
      <c r="B1216" s="1545" t="s">
        <v>2139</v>
      </c>
      <c r="C1216" s="473">
        <v>1.6760999999999999</v>
      </c>
      <c r="D1216" s="261"/>
      <c r="H1216" s="264"/>
      <c r="U1216" s="1441"/>
      <c r="V1216" s="261"/>
      <c r="W1216" s="261"/>
    </row>
    <row r="1217" spans="1:23" s="22" customFormat="1" ht="15.75">
      <c r="A1217" s="472" t="s">
        <v>2140</v>
      </c>
      <c r="B1217" s="1545" t="s">
        <v>2141</v>
      </c>
      <c r="C1217" s="473">
        <v>2.4148999999999998</v>
      </c>
      <c r="D1217" s="261"/>
      <c r="H1217" s="264"/>
      <c r="U1217" s="1441"/>
      <c r="V1217" s="261"/>
      <c r="W1217" s="261"/>
    </row>
    <row r="1218" spans="1:23" s="22" customFormat="1" ht="15.75">
      <c r="A1218" s="472" t="s">
        <v>2142</v>
      </c>
      <c r="B1218" s="1545" t="s">
        <v>2143</v>
      </c>
      <c r="C1218" s="473">
        <v>1.0278</v>
      </c>
      <c r="D1218" s="261"/>
      <c r="H1218" s="264"/>
      <c r="U1218" s="1441"/>
      <c r="V1218" s="261"/>
      <c r="W1218" s="261"/>
    </row>
    <row r="1219" spans="1:23" s="22" customFormat="1" ht="15.75">
      <c r="A1219" s="472" t="s">
        <v>2144</v>
      </c>
      <c r="B1219" s="1545" t="s">
        <v>2145</v>
      </c>
      <c r="C1219" s="473">
        <v>2.8809999999999998</v>
      </c>
      <c r="D1219" s="261"/>
      <c r="H1219" s="264"/>
      <c r="U1219" s="1441"/>
      <c r="V1219" s="261"/>
      <c r="W1219" s="261"/>
    </row>
    <row r="1220" spans="1:23" s="22" customFormat="1" ht="15.75">
      <c r="A1220" s="472" t="s">
        <v>2146</v>
      </c>
      <c r="B1220" s="1545" t="s">
        <v>2147</v>
      </c>
      <c r="C1220" s="473">
        <v>4.7449000000000003</v>
      </c>
      <c r="D1220" s="261"/>
      <c r="H1220" s="264"/>
      <c r="U1220" s="1441"/>
      <c r="V1220" s="261"/>
      <c r="W1220" s="261"/>
    </row>
    <row r="1221" spans="1:23" s="22" customFormat="1" ht="30">
      <c r="A1221" s="472" t="s">
        <v>2148</v>
      </c>
      <c r="B1221" s="1545" t="s">
        <v>2149</v>
      </c>
      <c r="C1221" s="473">
        <v>1.4298</v>
      </c>
      <c r="D1221" s="261"/>
      <c r="H1221" s="264"/>
      <c r="U1221" s="1441"/>
      <c r="V1221" s="261"/>
      <c r="W1221" s="261"/>
    </row>
    <row r="1222" spans="1:23" s="22" customFormat="1" ht="30">
      <c r="A1222" s="472" t="s">
        <v>2150</v>
      </c>
      <c r="B1222" s="1545" t="s">
        <v>2151</v>
      </c>
      <c r="C1222" s="473">
        <v>1.4736</v>
      </c>
      <c r="D1222" s="261"/>
      <c r="H1222" s="264"/>
      <c r="U1222" s="1441"/>
      <c r="V1222" s="261"/>
      <c r="W1222" s="261"/>
    </row>
    <row r="1223" spans="1:23" s="22" customFormat="1" ht="30">
      <c r="A1223" s="472" t="s">
        <v>937</v>
      </c>
      <c r="B1223" s="1545" t="s">
        <v>2152</v>
      </c>
      <c r="C1223" s="473">
        <v>2.2117</v>
      </c>
      <c r="D1223" s="261"/>
      <c r="H1223" s="264"/>
      <c r="U1223" s="1441"/>
      <c r="V1223" s="261"/>
      <c r="W1223" s="261"/>
    </row>
    <row r="1224" spans="1:23" s="22" customFormat="1" ht="30">
      <c r="A1224" s="472" t="s">
        <v>2153</v>
      </c>
      <c r="B1224" s="1545" t="s">
        <v>2154</v>
      </c>
      <c r="C1224" s="473">
        <v>2.5592000000000001</v>
      </c>
      <c r="D1224" s="261"/>
      <c r="H1224" s="264"/>
      <c r="U1224" s="1441"/>
      <c r="V1224" s="261"/>
      <c r="W1224" s="261"/>
    </row>
    <row r="1225" spans="1:23" s="22" customFormat="1" ht="15.75">
      <c r="A1225" s="472" t="s">
        <v>939</v>
      </c>
      <c r="B1225" s="1545" t="s">
        <v>2155</v>
      </c>
      <c r="C1225" s="473">
        <v>9.0071999999999992</v>
      </c>
      <c r="D1225" s="261"/>
      <c r="H1225" s="264"/>
      <c r="U1225" s="1441"/>
      <c r="V1225" s="261"/>
      <c r="W1225" s="261"/>
    </row>
    <row r="1226" spans="1:23" s="22" customFormat="1" ht="15.75">
      <c r="A1226" s="472" t="s">
        <v>2156</v>
      </c>
      <c r="B1226" s="1545" t="s">
        <v>2157</v>
      </c>
      <c r="C1226" s="473">
        <v>0.12584999999999999</v>
      </c>
      <c r="D1226" s="261"/>
      <c r="H1226" s="264"/>
      <c r="U1226" s="1441"/>
      <c r="V1226" s="261"/>
      <c r="W1226" s="261"/>
    </row>
    <row r="1227" spans="1:23" s="22" customFormat="1" ht="16.5" thickBot="1">
      <c r="A1227" s="474" t="s">
        <v>941</v>
      </c>
      <c r="B1227" s="1546" t="s">
        <v>2158</v>
      </c>
      <c r="C1227" s="475">
        <v>1.7374000000000001</v>
      </c>
      <c r="D1227" s="261"/>
      <c r="H1227" s="264"/>
      <c r="U1227" s="1441"/>
      <c r="V1227" s="261"/>
      <c r="W1227" s="261"/>
    </row>
    <row r="1228" spans="1:23" s="22" customFormat="1" ht="30.75" thickBot="1">
      <c r="A1228" s="472" t="s">
        <v>2150</v>
      </c>
      <c r="B1228" s="1545" t="s">
        <v>2159</v>
      </c>
      <c r="C1228" s="475">
        <v>0.98906000000000005</v>
      </c>
      <c r="D1228" s="261"/>
      <c r="H1228" s="264"/>
      <c r="U1228" s="1441"/>
      <c r="V1228" s="261"/>
      <c r="W1228" s="261"/>
    </row>
    <row r="1229" spans="1:23" ht="16.5" thickBot="1">
      <c r="A1229" s="22"/>
      <c r="B1229" s="22"/>
      <c r="C1229" s="22"/>
      <c r="D1229" s="22"/>
      <c r="E1229" s="22"/>
      <c r="F1229" s="22"/>
      <c r="G1229" s="22"/>
      <c r="H1229" s="22"/>
      <c r="I1229" s="264"/>
      <c r="J1229" s="22"/>
      <c r="K1229" s="22"/>
      <c r="L1229" s="22"/>
      <c r="M1229" s="22"/>
      <c r="N1229" s="22"/>
      <c r="O1229" s="22"/>
      <c r="P1229" s="22"/>
      <c r="Q1229" s="22"/>
    </row>
    <row r="1230" spans="1:23" ht="21.75" thickBot="1">
      <c r="A1230" s="1830" t="s">
        <v>833</v>
      </c>
      <c r="B1230" s="1831"/>
      <c r="C1230" s="1831"/>
      <c r="D1230" s="1832"/>
    </row>
    <row r="1231" spans="1:23" ht="63">
      <c r="A1231" s="260" t="s">
        <v>963</v>
      </c>
    </row>
    <row r="1232" spans="1:23" ht="15.75">
      <c r="A1232" s="254">
        <v>3.3</v>
      </c>
    </row>
    <row r="1233" spans="1:5" ht="15.75" thickBot="1"/>
    <row r="1234" spans="1:5" ht="21.75" thickBot="1">
      <c r="A1234" s="1830" t="s">
        <v>2160</v>
      </c>
      <c r="B1234" s="1831"/>
      <c r="C1234" s="1831"/>
      <c r="D1234" s="1832"/>
    </row>
    <row r="1235" spans="1:5" ht="16.5" thickBot="1">
      <c r="A1235" s="22"/>
      <c r="B1235" s="22"/>
      <c r="C1235" s="22"/>
      <c r="D1235" s="22"/>
    </row>
    <row r="1236" spans="1:5" ht="31.5">
      <c r="A1236" s="470" t="s">
        <v>923</v>
      </c>
      <c r="B1236" s="432" t="s">
        <v>2067</v>
      </c>
      <c r="C1236" s="471" t="s">
        <v>2131</v>
      </c>
      <c r="D1236" s="261"/>
      <c r="E1236" s="1544" t="s">
        <v>2424</v>
      </c>
    </row>
    <row r="1237" spans="1:5" ht="15.75">
      <c r="A1237" s="472" t="s">
        <v>2161</v>
      </c>
      <c r="B1237" s="1545" t="s">
        <v>2162</v>
      </c>
      <c r="C1237" s="473">
        <v>5.9181999999999997</v>
      </c>
      <c r="D1237" s="473" t="s">
        <v>871</v>
      </c>
      <c r="E1237" s="768" t="s">
        <v>2425</v>
      </c>
    </row>
    <row r="1238" spans="1:5" ht="30">
      <c r="A1238" s="472" t="s">
        <v>2163</v>
      </c>
      <c r="B1238" s="1545" t="s">
        <v>2135</v>
      </c>
      <c r="C1238" s="473"/>
      <c r="D1238" s="473" t="s">
        <v>2164</v>
      </c>
      <c r="E1238" s="768" t="s">
        <v>2426</v>
      </c>
    </row>
    <row r="1239" spans="1:5" ht="45">
      <c r="A1239" s="472" t="s">
        <v>2165</v>
      </c>
      <c r="B1239" s="1545" t="s">
        <v>2165</v>
      </c>
      <c r="C1239" s="473">
        <v>0.85</v>
      </c>
      <c r="D1239" s="473" t="s">
        <v>2166</v>
      </c>
      <c r="E1239" s="768" t="s">
        <v>2427</v>
      </c>
    </row>
    <row r="1240" spans="1:5" ht="15.75">
      <c r="A1240" s="472" t="s">
        <v>2167</v>
      </c>
      <c r="B1240" s="1545" t="s">
        <v>2168</v>
      </c>
      <c r="C1240" s="473">
        <v>3.3462999999999998</v>
      </c>
      <c r="D1240" s="473" t="s">
        <v>871</v>
      </c>
      <c r="E1240" s="768" t="s">
        <v>2428</v>
      </c>
    </row>
    <row r="1241" spans="1:5" ht="15.75">
      <c r="A1241" s="472" t="s">
        <v>2169</v>
      </c>
      <c r="B1241" s="1545" t="s">
        <v>2170</v>
      </c>
      <c r="C1241" s="473">
        <v>11.067</v>
      </c>
      <c r="D1241" s="473" t="s">
        <v>871</v>
      </c>
      <c r="E1241" s="768" t="s">
        <v>2429</v>
      </c>
    </row>
    <row r="1244" spans="1:5">
      <c r="A1244" s="472" t="s">
        <v>2171</v>
      </c>
      <c r="B1244" s="472" t="s">
        <v>2172</v>
      </c>
      <c r="C1244" s="472">
        <v>0.32200000000000001</v>
      </c>
      <c r="D1244" s="473" t="s">
        <v>871</v>
      </c>
      <c r="E1244" s="10" t="s">
        <v>2173</v>
      </c>
    </row>
    <row r="1245" spans="1:5">
      <c r="A1245" s="472" t="s">
        <v>2174</v>
      </c>
      <c r="B1245" s="472" t="s">
        <v>2430</v>
      </c>
      <c r="C1245" s="472">
        <v>1.4</v>
      </c>
      <c r="D1245" s="473" t="s">
        <v>2175</v>
      </c>
      <c r="E1245" t="s">
        <v>2176</v>
      </c>
    </row>
  </sheetData>
  <sheetProtection selectLockedCells="1"/>
  <mergeCells count="221">
    <mergeCell ref="A1234:D1234"/>
    <mergeCell ref="F692:F694"/>
    <mergeCell ref="A774:G774"/>
    <mergeCell ref="A775:B775"/>
    <mergeCell ref="A776:A834"/>
    <mergeCell ref="B776:G776"/>
    <mergeCell ref="B782:G782"/>
    <mergeCell ref="B788:G788"/>
    <mergeCell ref="B794:G794"/>
    <mergeCell ref="B800:G800"/>
    <mergeCell ref="B806:G806"/>
    <mergeCell ref="B812:G812"/>
    <mergeCell ref="B818:G818"/>
    <mergeCell ref="B824:G824"/>
    <mergeCell ref="B830:G830"/>
    <mergeCell ref="A1189:D1189"/>
    <mergeCell ref="A1195:D1195"/>
    <mergeCell ref="A1210:D1210"/>
    <mergeCell ref="A1092:G1092"/>
    <mergeCell ref="A1067:Q1067"/>
    <mergeCell ref="A895:Q895"/>
    <mergeCell ref="B1005:D1006"/>
    <mergeCell ref="B1007:B1008"/>
    <mergeCell ref="A1025:A1026"/>
    <mergeCell ref="M463:M465"/>
    <mergeCell ref="I469:K471"/>
    <mergeCell ref="I475:M503"/>
    <mergeCell ref="A499:A502"/>
    <mergeCell ref="A322:A323"/>
    <mergeCell ref="B332:B333"/>
    <mergeCell ref="C332:C333"/>
    <mergeCell ref="D332:D333"/>
    <mergeCell ref="E332:E333"/>
    <mergeCell ref="A437:A445"/>
    <mergeCell ref="A375:A379"/>
    <mergeCell ref="A380:A384"/>
    <mergeCell ref="A467:K467"/>
    <mergeCell ref="A468:B468"/>
    <mergeCell ref="I468:K468"/>
    <mergeCell ref="A454:B454"/>
    <mergeCell ref="A455:B455"/>
    <mergeCell ref="A456:B456"/>
    <mergeCell ref="D461:G461"/>
    <mergeCell ref="A395:A399"/>
    <mergeCell ref="A421:B421"/>
    <mergeCell ref="A446:A450"/>
    <mergeCell ref="A453:C453"/>
    <mergeCell ref="D453:G453"/>
    <mergeCell ref="A425:O425"/>
    <mergeCell ref="A273:Q273"/>
    <mergeCell ref="A342:A343"/>
    <mergeCell ref="B345:B346"/>
    <mergeCell ref="B347:B348"/>
    <mergeCell ref="A1161:J1161"/>
    <mergeCell ref="A1133:Q1133"/>
    <mergeCell ref="A1138:B1138"/>
    <mergeCell ref="A1163:B1163"/>
    <mergeCell ref="A1176:D1176"/>
    <mergeCell ref="A360:N360"/>
    <mergeCell ref="A361:B361"/>
    <mergeCell ref="I361:N361"/>
    <mergeCell ref="I362:N362"/>
    <mergeCell ref="I363:N363"/>
    <mergeCell ref="I364:N364"/>
    <mergeCell ref="H461:K461"/>
    <mergeCell ref="A420:B420"/>
    <mergeCell ref="A419:B419"/>
    <mergeCell ref="A418:B418"/>
    <mergeCell ref="A367:N367"/>
    <mergeCell ref="A368:C368"/>
    <mergeCell ref="D368:G368"/>
    <mergeCell ref="A505:I505"/>
    <mergeCell ref="H368:K368"/>
    <mergeCell ref="A400:A404"/>
    <mergeCell ref="A405:A409"/>
    <mergeCell ref="A463:A465"/>
    <mergeCell ref="A462:B462"/>
    <mergeCell ref="A748:B748"/>
    <mergeCell ref="A749:A751"/>
    <mergeCell ref="A506:B506"/>
    <mergeCell ref="A410:A414"/>
    <mergeCell ref="A417:C417"/>
    <mergeCell ref="D417:G417"/>
    <mergeCell ref="A426:C426"/>
    <mergeCell ref="A369:B369"/>
    <mergeCell ref="A370:A374"/>
    <mergeCell ref="A385:A389"/>
    <mergeCell ref="A390:A394"/>
    <mergeCell ref="G539:K539"/>
    <mergeCell ref="G538:K538"/>
    <mergeCell ref="A692:A695"/>
    <mergeCell ref="G542:K542"/>
    <mergeCell ref="A634:Q634"/>
    <mergeCell ref="A674:Q674"/>
    <mergeCell ref="B669:G669"/>
    <mergeCell ref="D426:G426"/>
    <mergeCell ref="A427:B427"/>
    <mergeCell ref="A428:A436"/>
    <mergeCell ref="H426:K426"/>
    <mergeCell ref="L426:O426"/>
    <mergeCell ref="A422:B422"/>
    <mergeCell ref="R1126:S1126"/>
    <mergeCell ref="R1128:T1128"/>
    <mergeCell ref="A1102:Q1102"/>
    <mergeCell ref="A1103:F1103"/>
    <mergeCell ref="A1124:M1124"/>
    <mergeCell ref="R1124:T1124"/>
    <mergeCell ref="R1125:S1125"/>
    <mergeCell ref="A957:E957"/>
    <mergeCell ref="A955:Q955"/>
    <mergeCell ref="A1002:Q1002"/>
    <mergeCell ref="B1020:D1020"/>
    <mergeCell ref="A1098:H1098"/>
    <mergeCell ref="A1099:H1099"/>
    <mergeCell ref="A1039:Q1039"/>
    <mergeCell ref="A1059:Q1059"/>
    <mergeCell ref="A1093:H1093"/>
    <mergeCell ref="A1094:H1094"/>
    <mergeCell ref="A1095:J1095"/>
    <mergeCell ref="B1021:D1021"/>
    <mergeCell ref="B1022:D1022"/>
    <mergeCell ref="A1016:A1022"/>
    <mergeCell ref="B1017:D1017"/>
    <mergeCell ref="B1012:D1012"/>
    <mergeCell ref="B1013:D1013"/>
    <mergeCell ref="A1091:I1091"/>
    <mergeCell ref="A2:Q2"/>
    <mergeCell ref="A135:Q135"/>
    <mergeCell ref="A246:Q246"/>
    <mergeCell ref="A94:F94"/>
    <mergeCell ref="A95:F95"/>
    <mergeCell ref="A96:F96"/>
    <mergeCell ref="A83:Q83"/>
    <mergeCell ref="A93:Q93"/>
    <mergeCell ref="B235:E235"/>
    <mergeCell ref="A111:Q111"/>
    <mergeCell ref="A19:Q19"/>
    <mergeCell ref="B238:E238"/>
    <mergeCell ref="A137:I137"/>
    <mergeCell ref="A138:I138"/>
    <mergeCell ref="B171:E171"/>
    <mergeCell ref="B172:C172"/>
    <mergeCell ref="D172:D173"/>
    <mergeCell ref="E172:E173"/>
    <mergeCell ref="G541:K541"/>
    <mergeCell ref="G540:K540"/>
    <mergeCell ref="A836:F836"/>
    <mergeCell ref="A837:B837"/>
    <mergeCell ref="A838:A893"/>
    <mergeCell ref="A1230:D1230"/>
    <mergeCell ref="A489:A495"/>
    <mergeCell ref="A496:A498"/>
    <mergeCell ref="A473:M473"/>
    <mergeCell ref="A474:B474"/>
    <mergeCell ref="I474:M474"/>
    <mergeCell ref="A475:A481"/>
    <mergeCell ref="A482:A488"/>
    <mergeCell ref="A469:A471"/>
    <mergeCell ref="B1014:D1014"/>
    <mergeCell ref="C1007:C1008"/>
    <mergeCell ref="B1011:D1011"/>
    <mergeCell ref="C692:E692"/>
    <mergeCell ref="C693:E693"/>
    <mergeCell ref="C694:E694"/>
    <mergeCell ref="A752:A756"/>
    <mergeCell ref="A768:A770"/>
    <mergeCell ref="A510:Q510"/>
    <mergeCell ref="A763:B763"/>
    <mergeCell ref="A1096:I1096"/>
    <mergeCell ref="A1097:H1097"/>
    <mergeCell ref="A1069:G1069"/>
    <mergeCell ref="A1070:G1070"/>
    <mergeCell ref="A1072:F1072"/>
    <mergeCell ref="Y748:Y750"/>
    <mergeCell ref="A721:B721"/>
    <mergeCell ref="Y762:Z762"/>
    <mergeCell ref="Y763:Y766"/>
    <mergeCell ref="Y767:Y769"/>
    <mergeCell ref="H704:P704"/>
    <mergeCell ref="H706:P706"/>
    <mergeCell ref="H707:P707"/>
    <mergeCell ref="Y720:Z720"/>
    <mergeCell ref="Y721:Y727"/>
    <mergeCell ref="Y728:Y736"/>
    <mergeCell ref="Y737:Y738"/>
    <mergeCell ref="H747:K747"/>
    <mergeCell ref="H740:K740"/>
    <mergeCell ref="L749:L751"/>
    <mergeCell ref="L752:L756"/>
    <mergeCell ref="Y751:Y755"/>
    <mergeCell ref="L757:L761"/>
    <mergeCell ref="D740:G740"/>
    <mergeCell ref="A741:B741"/>
    <mergeCell ref="A742:A745"/>
    <mergeCell ref="A764:A767"/>
    <mergeCell ref="A757:A761"/>
    <mergeCell ref="D747:G747"/>
    <mergeCell ref="A3:I3"/>
    <mergeCell ref="AB739:AE739"/>
    <mergeCell ref="Y740:Z740"/>
    <mergeCell ref="Y741:Y744"/>
    <mergeCell ref="AB746:AE746"/>
    <mergeCell ref="Y747:Z747"/>
    <mergeCell ref="A544:Q544"/>
    <mergeCell ref="A729:A737"/>
    <mergeCell ref="A738:A739"/>
    <mergeCell ref="B174:E174"/>
    <mergeCell ref="A21:A23"/>
    <mergeCell ref="A40:A41"/>
    <mergeCell ref="A53:A55"/>
    <mergeCell ref="A11:Q11"/>
    <mergeCell ref="B200:E200"/>
    <mergeCell ref="B218:E218"/>
    <mergeCell ref="B196:E196"/>
    <mergeCell ref="B216:E216"/>
    <mergeCell ref="B223:E223"/>
    <mergeCell ref="A249:A251"/>
    <mergeCell ref="A356:Q356"/>
    <mergeCell ref="A320:Q320"/>
    <mergeCell ref="A358:H359"/>
    <mergeCell ref="L368:O368"/>
  </mergeCells>
  <phoneticPr fontId="38" type="noConversion"/>
  <conditionalFormatting sqref="R418:R421">
    <cfRule type="cellIs" dxfId="63" priority="20" operator="greaterThan">
      <formula>0.25</formula>
    </cfRule>
    <cfRule type="cellIs" dxfId="62" priority="21" operator="greaterThan">
      <formula>0.1</formula>
    </cfRule>
    <cfRule type="cellIs" dxfId="61" priority="22" operator="greaterThan">
      <formula>10</formula>
    </cfRule>
  </conditionalFormatting>
  <conditionalFormatting sqref="R474:R502">
    <cfRule type="cellIs" dxfId="60" priority="2" operator="lessThan">
      <formula>-0.25</formula>
    </cfRule>
    <cfRule type="cellIs" dxfId="59" priority="3" operator="lessThan">
      <formula>-0.1</formula>
    </cfRule>
    <cfRule type="cellIs" dxfId="58" priority="4" operator="lessThan">
      <formula>-0.25</formula>
    </cfRule>
    <cfRule type="cellIs" dxfId="57" priority="5" operator="greaterThan">
      <formula>0.25</formula>
    </cfRule>
    <cfRule type="cellIs" dxfId="56" priority="6" operator="greaterThan">
      <formula>0.1</formula>
    </cfRule>
    <cfRule type="cellIs" dxfId="55" priority="7" operator="greaterThan">
      <formula>10</formula>
    </cfRule>
  </conditionalFormatting>
  <conditionalFormatting sqref="S462:T464">
    <cfRule type="cellIs" dxfId="54" priority="8" operator="lessThan">
      <formula>-0.25</formula>
    </cfRule>
    <cfRule type="cellIs" dxfId="53" priority="9" operator="lessThan">
      <formula>-0.1</formula>
    </cfRule>
    <cfRule type="cellIs" dxfId="52" priority="10" operator="lessThan">
      <formula>-0.25</formula>
    </cfRule>
    <cfRule type="cellIs" dxfId="51" priority="11" operator="greaterThan">
      <formula>0.25</formula>
    </cfRule>
    <cfRule type="cellIs" dxfId="50" priority="12" operator="greaterThan">
      <formula>0.1</formula>
    </cfRule>
    <cfRule type="cellIs" dxfId="49" priority="13" operator="greaterThan">
      <formula>10</formula>
    </cfRule>
  </conditionalFormatting>
  <conditionalFormatting sqref="T722:T738 M742:N745">
    <cfRule type="cellIs" dxfId="48" priority="81" operator="greaterThan">
      <formula>0.25</formula>
    </cfRule>
    <cfRule type="cellIs" dxfId="47" priority="82" operator="greaterThan">
      <formula>0.1</formula>
    </cfRule>
    <cfRule type="cellIs" dxfId="46" priority="83" operator="greaterThan">
      <formula>10</formula>
    </cfRule>
  </conditionalFormatting>
  <conditionalFormatting sqref="T770:T772">
    <cfRule type="cellIs" dxfId="45" priority="108" operator="greaterThan">
      <formula>0.25</formula>
    </cfRule>
    <cfRule type="cellIs" dxfId="44" priority="109" operator="greaterThan">
      <formula>0.1</formula>
    </cfRule>
    <cfRule type="cellIs" dxfId="43" priority="110" operator="greaterThan">
      <formula>10</formula>
    </cfRule>
  </conditionalFormatting>
  <conditionalFormatting sqref="T369:V413">
    <cfRule type="cellIs" dxfId="42" priority="23" operator="greaterThan">
      <formula>0.25</formula>
    </cfRule>
    <cfRule type="cellIs" dxfId="41" priority="24" operator="greaterThan">
      <formula>0.1</formula>
    </cfRule>
    <cfRule type="cellIs" dxfId="40" priority="25" operator="greaterThan">
      <formula>10</formula>
    </cfRule>
  </conditionalFormatting>
  <conditionalFormatting sqref="T427:V449">
    <cfRule type="cellIs" dxfId="39" priority="14" operator="lessThan">
      <formula>-0.25</formula>
    </cfRule>
    <cfRule type="cellIs" dxfId="38" priority="15" operator="lessThan">
      <formula>-0.1</formula>
    </cfRule>
    <cfRule type="cellIs" dxfId="37" priority="16" operator="lessThan">
      <formula>-0.25</formula>
    </cfRule>
    <cfRule type="cellIs" dxfId="36" priority="17" operator="greaterThan">
      <formula>0.25</formula>
    </cfRule>
    <cfRule type="cellIs" dxfId="35" priority="18" operator="greaterThan">
      <formula>0.1</formula>
    </cfRule>
    <cfRule type="cellIs" dxfId="34" priority="19" operator="greaterThan">
      <formula>10</formula>
    </cfRule>
  </conditionalFormatting>
  <hyperlinks>
    <hyperlink ref="A540" r:id="rId1" xr:uid="{78B4BDD2-ED9C-432D-87DE-39C74DAFF70E}"/>
    <hyperlink ref="A1122" r:id="rId2" xr:uid="{EF8F91E8-3566-47F6-AE44-EB56D6A1280B}"/>
    <hyperlink ref="A137" r:id="rId3" display="https://www.ipcc.ch/publications_and_data/ar4/wg1/en/ch2s2-10-2.html " xr:uid="{AA13883A-EF30-4033-9BFA-44966434DB02}"/>
    <hyperlink ref="A1042" r:id="rId4" xr:uid="{C63F9035-0B4D-4F5B-963D-E3DB7894AF9F}"/>
    <hyperlink ref="B1187" r:id="rId5" xr:uid="{3409E057-F493-4965-A6E3-DE2A48A8AD07}"/>
    <hyperlink ref="A689" r:id="rId6" xr:uid="{FC00C8C4-8EBE-4E5C-B5F5-3970CC3928AD}"/>
    <hyperlink ref="D90" r:id="rId7" location="cross_sector_tools_id" xr:uid="{7F3B7CCF-FB27-4ADB-B41D-058CA3009479}"/>
    <hyperlink ref="Q39" r:id="rId8" display="https://www.epa.gov/system/files/documents/2023-03/ghg_emission_factors_hub.pdf" xr:uid="{830F13A0-F015-418D-BCC9-38FFA4667088}"/>
    <hyperlink ref="H705" r:id="rId9" xr:uid="{14236068-D6E6-4582-BAF0-F0072FAC549D}"/>
    <hyperlink ref="A37" r:id="rId10" display="https://www.ipcc-nggip.iges.or.jp/public/2006gl/pdf/2_Volume2/V2_2_Ch2_Stationary_Combustion.pdf" xr:uid="{7AA5A8A3-2290-4ACE-9A28-8B7933ECBE02}"/>
    <hyperlink ref="H325" r:id="rId11" display="https://www.climate-transparency.org/wp-content/uploads/2019/11/B2G_2019_Argentina.pdf" xr:uid="{7139C333-8170-4AC7-A89C-421D50C5B080}"/>
    <hyperlink ref="F324" r:id="rId12" xr:uid="{325EE4D0-74EB-47B2-B23A-CAFD4FB25061}"/>
    <hyperlink ref="I325" r:id="rId13" display="https://datos.gob.ar/el/dataset/energia-calculo-factor-emision-co2-red-argentina-energia-electrica" xr:uid="{C11D4D16-EC20-4286-B830-0D5B5CAA1A50}"/>
    <hyperlink ref="A719" r:id="rId14" display="https://www.ipcc-nggip.iges.or.jp/public/2006gl/pdf/2_Volume2/V2_2_Ch2_Stationary_Combustion.pdf" xr:uid="{1FF6DF17-EC48-4A44-A15E-7384A659DD2F}"/>
    <hyperlink ref="C15" r:id="rId15" xr:uid="{2D545EBB-6FB1-4738-80A8-3871FE4043FA}"/>
    <hyperlink ref="C16" r:id="rId16" display="https://www.xe.com/currencyconverter/convert/?Amount=1&amp;From=USD&amp;To=CLP" xr:uid="{2A85C2FD-28ED-4EB0-9D6E-D4203E1E9719}"/>
    <hyperlink ref="F327" r:id="rId17" display="http://energiaabierta.cl/visualizaciones/factor-de-emision-sic-sing/" xr:uid="{6C1B6398-D0F8-4C17-8742-F607188BE0CE}"/>
    <hyperlink ref="F328" r:id="rId18" display="http://energiaabierta.cl/visualizaciones/factor-de-emision-sic-sing/" xr:uid="{0F9C24AF-85D3-45B5-80ED-058AC3B9D5A9}"/>
    <hyperlink ref="F329" r:id="rId19" display="http://energiaabierta.cl/visualizaciones/factor-de-emision-sic-sing/" xr:uid="{21DA83F4-E5AB-46FB-A735-0EBA85C8B6AA}"/>
    <hyperlink ref="H596" r:id="rId20" display="https://www.sciencedirect.com/science/article/pii/S266679082300054X" xr:uid="{A304ED75-A95B-447B-8867-3986DDFDE92D}"/>
    <hyperlink ref="E1244" r:id="rId21" display="https://ecoquery.ecoinvent.org/3.10/cutoff/dataset/5665/impact_assessment" xr:uid="{183A4A2E-2799-4D73-B366-5E5CBFE6309D}"/>
    <hyperlink ref="A136" r:id="rId22" display="https://ghgprotocol.org/sites/default/files/Global-Warming-Potential-Values %28Feb 16 2016%29_0.pdf" xr:uid="{113EDA65-8728-4216-BA9D-6A7896AEFE0D}"/>
    <hyperlink ref="A244" r:id="rId23" display="https://ghgprotocol.org/sites/default/files/Global-Warming-Potential-Values %28Feb 16 2016%29_0.pdf" xr:uid="{DFF9FE7D-5A2E-4E3D-AC04-05814EB4AD73}"/>
    <hyperlink ref="F326" r:id="rId24" xr:uid="{693CBE99-E021-4A74-9186-EEC186486618}"/>
    <hyperlink ref="A80" r:id="rId25" display="https://www.ipcc-nggip.iges.or.jp/public/2006gl/pdf/2_Volume2/V2_2_Ch2_Stationary_Combustion.pdf" xr:uid="{F4630C16-7BD2-4F1B-869A-28D9FCEAF0C9}"/>
    <hyperlink ref="F325" r:id="rId26" xr:uid="{919DE269-1E19-4862-8947-BBAC6EAB30DA}"/>
    <hyperlink ref="A91" r:id="rId27" display="https://www.globalpetrolprices.com/Argentina/" xr:uid="{B3733CBA-6799-4C37-AC69-377ED0324D74}"/>
    <hyperlink ref="A137:I137" r:id="rId28" display="IPCC AR6 Charpter 7" xr:uid="{C8FB2AAA-E497-4901-95AF-51D3138D3760}"/>
    <hyperlink ref="A3" r:id="rId29" display="https://www.ipcc.ch/publications_and_data/ar4/wg1/en/ch2s2-10-2.html " xr:uid="{EA21A101-A9E6-4A74-A9D2-4DD3C33C198C}"/>
    <hyperlink ref="A3:I3" r:id="rId30" display="IPCC AR6 Charpter 7" xr:uid="{E3081DD9-9E98-44DE-8D5C-F746837800DC}"/>
  </hyperlinks>
  <pageMargins left="0.7" right="0.7" top="0.75" bottom="0.75" header="0.3" footer="0.3"/>
  <pageSetup orientation="portrait" horizontalDpi="1200" verticalDpi="1200" r:id="rId31"/>
  <drawing r:id="rId32"/>
  <legacyDrawing r:id="rId33"/>
  <tableParts count="3">
    <tablePart r:id="rId34"/>
    <tablePart r:id="rId35"/>
    <tablePart r:id="rId3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900"/>
  </sheetPr>
  <dimension ref="A1:V183"/>
  <sheetViews>
    <sheetView topLeftCell="A110" zoomScale="55" zoomScaleNormal="55" workbookViewId="0">
      <selection activeCell="A127" sqref="A127:B127"/>
    </sheetView>
  </sheetViews>
  <sheetFormatPr baseColWidth="10" defaultColWidth="8.85546875" defaultRowHeight="15.75"/>
  <cols>
    <col min="1" max="1" width="28.28515625" style="694" bestFit="1" customWidth="1"/>
    <col min="2" max="2" width="19.85546875" style="694" customWidth="1"/>
    <col min="3" max="3" width="19.42578125" style="694" customWidth="1"/>
    <col min="4" max="4" width="26.5703125" style="694" bestFit="1" customWidth="1"/>
    <col min="5" max="5" width="18.5703125" style="694" customWidth="1"/>
    <col min="6" max="6" width="30.85546875" style="694" bestFit="1" customWidth="1"/>
    <col min="7" max="7" width="18.85546875" style="694" bestFit="1" customWidth="1"/>
    <col min="8" max="8" width="18.5703125" style="694" bestFit="1" customWidth="1"/>
    <col min="9" max="9" width="19.85546875" style="694" bestFit="1" customWidth="1"/>
    <col min="10" max="10" width="18.42578125" style="694" bestFit="1" customWidth="1"/>
    <col min="11" max="11" width="18.5703125" style="694" bestFit="1" customWidth="1"/>
    <col min="12" max="12" width="23.28515625" style="694" bestFit="1" customWidth="1"/>
    <col min="13" max="13" width="28.7109375" style="694" bestFit="1" customWidth="1"/>
    <col min="14" max="14" width="23.7109375" style="694" bestFit="1" customWidth="1"/>
    <col min="15" max="15" width="29.85546875" style="694" bestFit="1" customWidth="1"/>
    <col min="16" max="16" width="27.28515625" style="694" customWidth="1"/>
    <col min="17" max="17" width="20.85546875" style="694" customWidth="1"/>
    <col min="18" max="18" width="15.7109375" style="694" customWidth="1"/>
    <col min="19" max="19" width="14.7109375" style="694" customWidth="1"/>
    <col min="20" max="20" width="15.42578125" style="694" customWidth="1"/>
    <col min="21" max="21" width="11.7109375" style="694" customWidth="1"/>
    <col min="22" max="22" width="14.140625" style="694" customWidth="1"/>
    <col min="23" max="31" width="15.7109375" style="694" customWidth="1"/>
    <col min="32" max="35" width="10.7109375" style="694" customWidth="1"/>
    <col min="36" max="16384" width="8.85546875" style="694"/>
  </cols>
  <sheetData>
    <row r="1" spans="1:22" ht="62.1" customHeight="1" thickBot="1">
      <c r="A1" s="730" t="s">
        <v>65</v>
      </c>
      <c r="B1" s="1998" t="s">
        <v>413</v>
      </c>
      <c r="C1" s="1999"/>
      <c r="D1" s="1999"/>
      <c r="E1" s="1999"/>
      <c r="F1" s="2000"/>
      <c r="G1" s="731"/>
      <c r="H1" s="2001" t="s">
        <v>414</v>
      </c>
      <c r="I1" s="2002"/>
      <c r="J1" s="2002"/>
      <c r="K1" s="2002"/>
      <c r="L1" s="2002"/>
      <c r="M1" s="2003"/>
    </row>
    <row r="2" spans="1:22" ht="27.75" customHeight="1">
      <c r="B2" s="732"/>
      <c r="H2" s="733" t="s">
        <v>415</v>
      </c>
      <c r="I2" s="734"/>
      <c r="J2" s="735" t="s">
        <v>416</v>
      </c>
      <c r="K2" s="736"/>
      <c r="L2" s="735" t="s">
        <v>417</v>
      </c>
      <c r="M2" s="737"/>
    </row>
    <row r="3" spans="1:22" ht="41.45" customHeight="1">
      <c r="B3" s="692" t="s">
        <v>418</v>
      </c>
      <c r="C3" s="692" t="s">
        <v>419</v>
      </c>
      <c r="M3" s="712"/>
      <c r="N3" s="712"/>
      <c r="O3" s="712"/>
      <c r="P3" s="674"/>
      <c r="Q3" s="712"/>
      <c r="R3" s="674"/>
      <c r="U3" s="712"/>
      <c r="V3" s="712"/>
    </row>
    <row r="4" spans="1:22" ht="44.45" customHeight="1">
      <c r="A4" s="738"/>
      <c r="B4" s="692" t="s">
        <v>420</v>
      </c>
      <c r="C4" s="692" t="s">
        <v>420</v>
      </c>
    </row>
    <row r="5" spans="1:22" ht="32.25" thickBot="1">
      <c r="A5" s="692" t="s">
        <v>67</v>
      </c>
      <c r="B5" s="739">
        <f>SUM(G26,F41,H60)</f>
        <v>0</v>
      </c>
      <c r="C5" s="739">
        <f>SUM(H26,G41,I60)</f>
        <v>0</v>
      </c>
      <c r="G5" s="792" t="s">
        <v>421</v>
      </c>
      <c r="H5" s="793" t="s">
        <v>422</v>
      </c>
    </row>
    <row r="6" spans="1:22" ht="33" customHeight="1" thickBot="1">
      <c r="A6" s="692" t="s">
        <v>68</v>
      </c>
      <c r="B6" s="739">
        <f>SUM(H76,H91)</f>
        <v>0</v>
      </c>
      <c r="C6" s="739">
        <f>SUM(I76,I91)</f>
        <v>0</v>
      </c>
      <c r="F6" s="794" t="s">
        <v>423</v>
      </c>
      <c r="G6" s="795">
        <f>SUM(C16:C25,B31:B40,D47:D59,D66:D75,D81:D90,D97:D106,D111:D120)*277.778</f>
        <v>0</v>
      </c>
      <c r="H6" s="787">
        <f>SUM(N66:N75,N81:N90,N97:N106,N111:N120)</f>
        <v>0</v>
      </c>
    </row>
    <row r="7" spans="1:22" ht="18.75">
      <c r="A7" s="692" t="s">
        <v>70</v>
      </c>
      <c r="B7" s="739">
        <f>SUM(H107,H121)</f>
        <v>0</v>
      </c>
      <c r="C7" s="739">
        <f>SUM(I97:I106,I111:I120)</f>
        <v>0</v>
      </c>
    </row>
    <row r="8" spans="1:22" ht="18.75">
      <c r="A8" s="692" t="s">
        <v>72</v>
      </c>
      <c r="B8" s="739">
        <f>SUM(H137,H153,H168,H183)</f>
        <v>0</v>
      </c>
      <c r="C8" s="739">
        <f>SUM(I137,I153,I168,I183)</f>
        <v>0</v>
      </c>
    </row>
    <row r="9" spans="1:22" ht="18.75">
      <c r="A9" s="692" t="s">
        <v>424</v>
      </c>
      <c r="B9" s="700">
        <f>SUM(B5:B8)</f>
        <v>0</v>
      </c>
      <c r="C9" s="700">
        <f>SUM(C5:C8)</f>
        <v>0</v>
      </c>
    </row>
    <row r="10" spans="1:22">
      <c r="B10" s="732"/>
      <c r="M10" s="712"/>
      <c r="N10" s="712"/>
      <c r="O10" s="712"/>
      <c r="P10" s="674"/>
      <c r="Q10" s="712"/>
      <c r="R10" s="674"/>
    </row>
    <row r="11" spans="1:22">
      <c r="B11" s="732"/>
      <c r="M11" s="712"/>
      <c r="N11" s="712"/>
      <c r="O11" s="712"/>
      <c r="P11" s="674"/>
      <c r="Q11" s="712"/>
      <c r="R11" s="674"/>
      <c r="U11" s="712"/>
      <c r="V11" s="712"/>
    </row>
    <row r="12" spans="1:22" ht="36">
      <c r="A12" s="1993" t="s">
        <v>425</v>
      </c>
      <c r="B12" s="1994"/>
      <c r="C12" s="1994"/>
      <c r="D12" s="1994"/>
      <c r="E12" s="1994"/>
      <c r="F12" s="1994"/>
      <c r="G12" s="1994"/>
      <c r="H12" s="1994"/>
      <c r="I12" s="1994"/>
      <c r="J12" s="1994"/>
      <c r="K12" s="1994"/>
      <c r="L12" s="1994"/>
      <c r="M12" s="1994"/>
      <c r="N12" s="1994"/>
      <c r="U12" s="712"/>
      <c r="V12" s="712"/>
    </row>
    <row r="13" spans="1:22" s="743" customFormat="1" ht="24" thickBot="1">
      <c r="A13" s="2004" t="s">
        <v>426</v>
      </c>
      <c r="B13" s="2005"/>
      <c r="C13" s="2006"/>
      <c r="D13" s="1991" t="s">
        <v>427</v>
      </c>
      <c r="E13" s="1992"/>
      <c r="F13" s="741"/>
      <c r="G13" s="742"/>
      <c r="H13" s="742"/>
      <c r="I13" s="742"/>
      <c r="J13" s="742"/>
      <c r="K13" s="742"/>
      <c r="L13" s="742"/>
      <c r="M13" s="742"/>
      <c r="N13" s="767"/>
      <c r="S13" s="694"/>
      <c r="T13" s="694"/>
      <c r="U13" s="694"/>
      <c r="V13" s="694"/>
    </row>
    <row r="14" spans="1:22" s="744" customFormat="1" ht="23.25">
      <c r="G14" s="745" t="s">
        <v>62</v>
      </c>
      <c r="H14" s="746" t="s">
        <v>92</v>
      </c>
      <c r="M14" s="742"/>
      <c r="N14" s="742"/>
      <c r="O14" s="742"/>
      <c r="P14" s="767"/>
    </row>
    <row r="15" spans="1:22" s="744" customFormat="1" ht="70.5" customHeight="1">
      <c r="A15" s="748" t="s">
        <v>428</v>
      </c>
      <c r="B15" s="748" t="s">
        <v>429</v>
      </c>
      <c r="C15" s="748" t="s">
        <v>430</v>
      </c>
      <c r="D15" s="748" t="s">
        <v>420</v>
      </c>
      <c r="E15" s="748" t="s">
        <v>431</v>
      </c>
      <c r="F15" s="796" t="s">
        <v>432</v>
      </c>
      <c r="G15" s="749" t="s">
        <v>420</v>
      </c>
      <c r="H15" s="750" t="s">
        <v>420</v>
      </c>
    </row>
    <row r="16" spans="1:22" ht="18.75">
      <c r="A16" s="774"/>
      <c r="B16" s="752"/>
      <c r="C16" s="753">
        <f>B16*0.0036</f>
        <v>0</v>
      </c>
      <c r="D16" s="753">
        <f>C16*'Emission Factors'!$C$24*0.001</f>
        <v>0</v>
      </c>
      <c r="E16" s="753">
        <f>C16*'Emission Factors'!$D$24*0.001</f>
        <v>0</v>
      </c>
      <c r="F16" s="753">
        <f>C16*'Emission Factors'!$E$24*0.001</f>
        <v>0</v>
      </c>
      <c r="G16" s="754">
        <f>D16+E16+F16</f>
        <v>0</v>
      </c>
      <c r="H16" s="755">
        <f>C16*AVERAGE('Emission Factors'!$B$42:$C$46)*0.001</f>
        <v>0</v>
      </c>
      <c r="M16" s="744"/>
      <c r="N16" s="744"/>
      <c r="O16" s="744"/>
      <c r="P16" s="744"/>
    </row>
    <row r="17" spans="1:22" ht="15.6" customHeight="1">
      <c r="A17" s="774"/>
      <c r="B17" s="752"/>
      <c r="C17" s="753">
        <f t="shared" ref="C17:C25" si="0">B17*0.0036</f>
        <v>0</v>
      </c>
      <c r="D17" s="753">
        <f>C17*'Emission Factors'!$C$24*0.001</f>
        <v>0</v>
      </c>
      <c r="E17" s="753">
        <f>C17*'Emission Factors'!$D$24*0.001</f>
        <v>0</v>
      </c>
      <c r="F17" s="753">
        <f>C17*'Emission Factors'!$E$24*0.001</f>
        <v>0</v>
      </c>
      <c r="G17" s="754">
        <f t="shared" ref="G17:G25" si="1">D17+E17+F17</f>
        <v>0</v>
      </c>
      <c r="H17" s="755">
        <f>C17*AVERAGE('Emission Factors'!$B$42:$C$46)*0.001</f>
        <v>0</v>
      </c>
    </row>
    <row r="18" spans="1:22">
      <c r="A18" s="774"/>
      <c r="B18" s="752"/>
      <c r="C18" s="753">
        <f t="shared" si="0"/>
        <v>0</v>
      </c>
      <c r="D18" s="753">
        <f>C18*'Emission Factors'!$C$24*0.001</f>
        <v>0</v>
      </c>
      <c r="E18" s="753">
        <f>C18*'Emission Factors'!$D$24*0.001</f>
        <v>0</v>
      </c>
      <c r="F18" s="753">
        <f>C18*'Emission Factors'!$E$24*0.001</f>
        <v>0</v>
      </c>
      <c r="G18" s="754">
        <f t="shared" si="1"/>
        <v>0</v>
      </c>
      <c r="H18" s="755">
        <f>C18*AVERAGE('Emission Factors'!$B$42:$C$46)*0.001</f>
        <v>0</v>
      </c>
    </row>
    <row r="19" spans="1:22">
      <c r="A19" s="774"/>
      <c r="B19" s="752"/>
      <c r="C19" s="753">
        <f t="shared" si="0"/>
        <v>0</v>
      </c>
      <c r="D19" s="753">
        <f>C19*'Emission Factors'!$C$24*0.001</f>
        <v>0</v>
      </c>
      <c r="E19" s="753">
        <f>C19*'Emission Factors'!$D$24*0.001</f>
        <v>0</v>
      </c>
      <c r="F19" s="753">
        <f>C19*'Emission Factors'!$E$24*0.001</f>
        <v>0</v>
      </c>
      <c r="G19" s="754">
        <f t="shared" si="1"/>
        <v>0</v>
      </c>
      <c r="H19" s="755">
        <f>C19*AVERAGE('Emission Factors'!$B$42:$C$46)*0.001</f>
        <v>0</v>
      </c>
    </row>
    <row r="20" spans="1:22">
      <c r="A20" s="774"/>
      <c r="B20" s="752"/>
      <c r="C20" s="753">
        <f t="shared" si="0"/>
        <v>0</v>
      </c>
      <c r="D20" s="753">
        <f>C20*'Emission Factors'!$C$24*0.001</f>
        <v>0</v>
      </c>
      <c r="E20" s="753">
        <f>C20*'Emission Factors'!$D$24*0.001</f>
        <v>0</v>
      </c>
      <c r="F20" s="753">
        <f>C20*'Emission Factors'!$E$24*0.001</f>
        <v>0</v>
      </c>
      <c r="G20" s="754">
        <f t="shared" si="1"/>
        <v>0</v>
      </c>
      <c r="H20" s="755">
        <f>C20*AVERAGE('Emission Factors'!$B$42:$C$46)*0.001</f>
        <v>0</v>
      </c>
    </row>
    <row r="21" spans="1:22">
      <c r="A21" s="774"/>
      <c r="B21" s="752"/>
      <c r="C21" s="753">
        <f t="shared" si="0"/>
        <v>0</v>
      </c>
      <c r="D21" s="753">
        <f>C21*'Emission Factors'!$C$24*0.001</f>
        <v>0</v>
      </c>
      <c r="E21" s="753">
        <f>C21*'Emission Factors'!$D$24*0.001</f>
        <v>0</v>
      </c>
      <c r="F21" s="753">
        <f>C21*'Emission Factors'!$E$24*0.001</f>
        <v>0</v>
      </c>
      <c r="G21" s="754">
        <f t="shared" si="1"/>
        <v>0</v>
      </c>
      <c r="H21" s="755">
        <f>C21*AVERAGE('Emission Factors'!$B$42:$C$46)*0.001</f>
        <v>0</v>
      </c>
    </row>
    <row r="22" spans="1:22" ht="15.6" customHeight="1">
      <c r="A22" s="774"/>
      <c r="B22" s="752"/>
      <c r="C22" s="753">
        <f t="shared" si="0"/>
        <v>0</v>
      </c>
      <c r="D22" s="753">
        <f>C22*'Emission Factors'!$C$24*0.001</f>
        <v>0</v>
      </c>
      <c r="E22" s="753">
        <f>C22*'Emission Factors'!$D$24*0.001</f>
        <v>0</v>
      </c>
      <c r="F22" s="753">
        <f>C22*'Emission Factors'!$E$24*0.001</f>
        <v>0</v>
      </c>
      <c r="G22" s="754">
        <f t="shared" si="1"/>
        <v>0</v>
      </c>
      <c r="H22" s="755">
        <f>C22*AVERAGE('Emission Factors'!$B$42:$C$46)*0.001</f>
        <v>0</v>
      </c>
    </row>
    <row r="23" spans="1:22">
      <c r="A23" s="774"/>
      <c r="B23" s="752"/>
      <c r="C23" s="753">
        <f t="shared" si="0"/>
        <v>0</v>
      </c>
      <c r="D23" s="753">
        <f>C23*'Emission Factors'!$C$24*0.001</f>
        <v>0</v>
      </c>
      <c r="E23" s="753">
        <f>C23*'Emission Factors'!$D$24*0.001</f>
        <v>0</v>
      </c>
      <c r="F23" s="753">
        <f>C23*'Emission Factors'!$E$24*0.001</f>
        <v>0</v>
      </c>
      <c r="G23" s="754">
        <f t="shared" si="1"/>
        <v>0</v>
      </c>
      <c r="H23" s="755">
        <f>C23*AVERAGE('Emission Factors'!$B$42:$C$46)*0.001</f>
        <v>0</v>
      </c>
    </row>
    <row r="24" spans="1:22">
      <c r="A24" s="774"/>
      <c r="B24" s="752"/>
      <c r="C24" s="753">
        <f t="shared" si="0"/>
        <v>0</v>
      </c>
      <c r="D24" s="753">
        <f>C24*'Emission Factors'!$C$24*0.001</f>
        <v>0</v>
      </c>
      <c r="E24" s="753">
        <f>C24*'Emission Factors'!$D$24*0.001</f>
        <v>0</v>
      </c>
      <c r="F24" s="753">
        <f>C24*'Emission Factors'!$E$24*0.001</f>
        <v>0</v>
      </c>
      <c r="G24" s="754">
        <f t="shared" si="1"/>
        <v>0</v>
      </c>
      <c r="H24" s="755">
        <f>C24*AVERAGE('Emission Factors'!$B$42:$C$46)*0.001</f>
        <v>0</v>
      </c>
    </row>
    <row r="25" spans="1:22" ht="16.5" thickBot="1">
      <c r="A25" s="774"/>
      <c r="B25" s="752"/>
      <c r="C25" s="753">
        <f t="shared" si="0"/>
        <v>0</v>
      </c>
      <c r="D25" s="753">
        <f>C25*'Emission Factors'!$C$24*0.001</f>
        <v>0</v>
      </c>
      <c r="E25" s="753">
        <f>C25*'Emission Factors'!$D$24*0.001</f>
        <v>0</v>
      </c>
      <c r="F25" s="753">
        <f>C25*'Emission Factors'!$E$24*0.001</f>
        <v>0</v>
      </c>
      <c r="G25" s="754">
        <f t="shared" si="1"/>
        <v>0</v>
      </c>
      <c r="H25" s="755">
        <f>C25*AVERAGE('Emission Factors'!$B$42:$C$46)*0.001</f>
        <v>0</v>
      </c>
    </row>
    <row r="26" spans="1:22" ht="16.5" thickBot="1">
      <c r="A26" s="769" t="s">
        <v>433</v>
      </c>
      <c r="F26" s="760" t="s">
        <v>434</v>
      </c>
      <c r="G26" s="761">
        <f>SUM(G16:G25)</f>
        <v>0</v>
      </c>
      <c r="H26" s="762">
        <f>SUM(H16:H25)</f>
        <v>0</v>
      </c>
    </row>
    <row r="27" spans="1:22" s="743" customFormat="1" ht="23.25">
      <c r="A27" s="758" t="s">
        <v>435</v>
      </c>
      <c r="B27" s="759"/>
      <c r="C27" s="759"/>
      <c r="D27" s="759"/>
      <c r="E27" s="742"/>
      <c r="F27" s="759"/>
      <c r="G27" s="742"/>
      <c r="H27" s="742"/>
      <c r="I27" s="742"/>
      <c r="J27" s="742"/>
      <c r="K27" s="742"/>
      <c r="L27" s="742"/>
      <c r="M27" s="742"/>
      <c r="N27" s="742"/>
      <c r="O27" s="759"/>
      <c r="S27" s="742"/>
      <c r="T27" s="742"/>
      <c r="U27" s="742"/>
      <c r="V27" s="742"/>
    </row>
    <row r="28" spans="1:22" s="743" customFormat="1" ht="24" thickBot="1">
      <c r="A28" s="2004" t="s">
        <v>436</v>
      </c>
      <c r="B28" s="2005"/>
      <c r="C28" s="2006"/>
      <c r="D28" s="1991" t="s">
        <v>427</v>
      </c>
      <c r="E28" s="1992"/>
      <c r="F28" s="741"/>
      <c r="G28" s="742"/>
      <c r="H28" s="742"/>
      <c r="I28" s="742"/>
      <c r="J28" s="742"/>
      <c r="K28" s="742"/>
      <c r="L28" s="742"/>
      <c r="M28" s="742"/>
      <c r="N28" s="767"/>
      <c r="P28" s="767"/>
      <c r="S28" s="742"/>
      <c r="T28" s="742"/>
      <c r="U28" s="742"/>
      <c r="V28" s="767"/>
    </row>
    <row r="29" spans="1:22" ht="23.25">
      <c r="C29" s="744"/>
      <c r="D29" s="744"/>
      <c r="E29" s="744"/>
      <c r="F29" s="745" t="s">
        <v>62</v>
      </c>
      <c r="G29" s="746" t="s">
        <v>92</v>
      </c>
      <c r="H29" s="744"/>
      <c r="I29" s="744"/>
      <c r="J29" s="744"/>
      <c r="K29" s="744"/>
      <c r="L29" s="742"/>
    </row>
    <row r="30" spans="1:22" ht="76.5" customHeight="1">
      <c r="A30" s="748" t="s">
        <v>428</v>
      </c>
      <c r="B30" s="748" t="s">
        <v>437</v>
      </c>
      <c r="C30" s="748" t="s">
        <v>420</v>
      </c>
      <c r="D30" s="748" t="s">
        <v>431</v>
      </c>
      <c r="E30" s="796" t="s">
        <v>432</v>
      </c>
      <c r="F30" s="749" t="s">
        <v>420</v>
      </c>
      <c r="G30" s="750" t="s">
        <v>420</v>
      </c>
      <c r="H30" s="744"/>
      <c r="I30" s="744"/>
      <c r="J30" s="744"/>
      <c r="K30" s="744"/>
      <c r="L30" s="744"/>
    </row>
    <row r="31" spans="1:22" ht="18.75">
      <c r="A31" s="774"/>
      <c r="B31" s="752"/>
      <c r="C31" s="753">
        <f>B31*'Emission Factors'!$C$24*0.001</f>
        <v>0</v>
      </c>
      <c r="D31" s="753">
        <f>B31*'Emission Factors'!$D$24*0.001</f>
        <v>0</v>
      </c>
      <c r="E31" s="753">
        <f>B31*'Emission Factors'!$E$24*0.001</f>
        <v>0</v>
      </c>
      <c r="F31" s="754">
        <f>C31+D31+E31</f>
        <v>0</v>
      </c>
      <c r="G31" s="755">
        <f>B31*AVERAGE('Emission Factors'!$B$42:$C$46)*0.001</f>
        <v>0</v>
      </c>
      <c r="H31" s="680"/>
      <c r="L31" s="744"/>
    </row>
    <row r="32" spans="1:22">
      <c r="A32" s="774"/>
      <c r="B32" s="752"/>
      <c r="C32" s="753">
        <f>B32*'Emission Factors'!$C$24*0.001</f>
        <v>0</v>
      </c>
      <c r="D32" s="753">
        <f>C32*'Emission Factors'!$D$24*0.001</f>
        <v>0</v>
      </c>
      <c r="E32" s="753">
        <f>D32*'Emission Factors'!$E$24*0.001</f>
        <v>0</v>
      </c>
      <c r="F32" s="754">
        <f t="shared" ref="F32:F40" si="2">C32+D32+E32</f>
        <v>0</v>
      </c>
      <c r="G32" s="755">
        <f>B32*AVERAGE('Emission Factors'!$B$42:$C$46)*0.001</f>
        <v>0</v>
      </c>
    </row>
    <row r="33" spans="1:22">
      <c r="A33" s="774"/>
      <c r="B33" s="752"/>
      <c r="C33" s="753">
        <f>B33*'Emission Factors'!$C$24*0.001</f>
        <v>0</v>
      </c>
      <c r="D33" s="753">
        <f>C33*'Emission Factors'!$D$24*0.001</f>
        <v>0</v>
      </c>
      <c r="E33" s="753">
        <f>D33*'Emission Factors'!$E$24*0.001</f>
        <v>0</v>
      </c>
      <c r="F33" s="754">
        <f t="shared" si="2"/>
        <v>0</v>
      </c>
      <c r="G33" s="755">
        <f>B33*AVERAGE('Emission Factors'!$B$42:$C$46)*0.001</f>
        <v>0</v>
      </c>
    </row>
    <row r="34" spans="1:22">
      <c r="A34" s="774"/>
      <c r="B34" s="752"/>
      <c r="C34" s="753">
        <f>B34*'Emission Factors'!$C$24*0.001</f>
        <v>0</v>
      </c>
      <c r="D34" s="753">
        <f>C34*'Emission Factors'!$D$24*0.001</f>
        <v>0</v>
      </c>
      <c r="E34" s="753">
        <f>D34*'Emission Factors'!$E$24*0.001</f>
        <v>0</v>
      </c>
      <c r="F34" s="754">
        <f t="shared" si="2"/>
        <v>0</v>
      </c>
      <c r="G34" s="755">
        <f>B34*AVERAGE('Emission Factors'!$B$42:$C$46)*0.001</f>
        <v>0</v>
      </c>
    </row>
    <row r="35" spans="1:22">
      <c r="A35" s="774"/>
      <c r="B35" s="752"/>
      <c r="C35" s="753">
        <f>B35*'Emission Factors'!$C$24*0.001</f>
        <v>0</v>
      </c>
      <c r="D35" s="753">
        <f>C35*'Emission Factors'!$D$24*0.001</f>
        <v>0</v>
      </c>
      <c r="E35" s="753">
        <f>D35*'Emission Factors'!$E$24*0.001</f>
        <v>0</v>
      </c>
      <c r="F35" s="754">
        <f t="shared" si="2"/>
        <v>0</v>
      </c>
      <c r="G35" s="755">
        <f>B35*AVERAGE('Emission Factors'!$B$42:$C$46)*0.001</f>
        <v>0</v>
      </c>
    </row>
    <row r="36" spans="1:22">
      <c r="A36" s="774"/>
      <c r="B36" s="752"/>
      <c r="C36" s="753">
        <f>B36*'Emission Factors'!$C$24*0.001</f>
        <v>0</v>
      </c>
      <c r="D36" s="753">
        <f>C36*'Emission Factors'!$D$24*0.001</f>
        <v>0</v>
      </c>
      <c r="E36" s="753">
        <f>D36*'Emission Factors'!$E$24*0.001</f>
        <v>0</v>
      </c>
      <c r="F36" s="754">
        <f t="shared" si="2"/>
        <v>0</v>
      </c>
      <c r="G36" s="755">
        <f>B36*AVERAGE('Emission Factors'!$B$42:$C$46)*0.001</f>
        <v>0</v>
      </c>
    </row>
    <row r="37" spans="1:22">
      <c r="A37" s="774"/>
      <c r="B37" s="752"/>
      <c r="C37" s="753">
        <f>B37*'Emission Factors'!$C$24*0.001</f>
        <v>0</v>
      </c>
      <c r="D37" s="753">
        <f>C37*'Emission Factors'!$D$24*0.001</f>
        <v>0</v>
      </c>
      <c r="E37" s="753">
        <f>D37*'Emission Factors'!$E$24*0.001</f>
        <v>0</v>
      </c>
      <c r="F37" s="754">
        <f t="shared" si="2"/>
        <v>0</v>
      </c>
      <c r="G37" s="755">
        <f>B37*AVERAGE('Emission Factors'!$B$42:$C$46)*0.001</f>
        <v>0</v>
      </c>
    </row>
    <row r="38" spans="1:22">
      <c r="A38" s="774"/>
      <c r="B38" s="752"/>
      <c r="C38" s="753">
        <f>B38*'Emission Factors'!$C$24*0.001</f>
        <v>0</v>
      </c>
      <c r="D38" s="753">
        <f>C38*'Emission Factors'!$D$24*0.001</f>
        <v>0</v>
      </c>
      <c r="E38" s="753">
        <f>D38*'Emission Factors'!$E$24*0.001</f>
        <v>0</v>
      </c>
      <c r="F38" s="754">
        <f t="shared" si="2"/>
        <v>0</v>
      </c>
      <c r="G38" s="755">
        <f>B38*AVERAGE('Emission Factors'!$B$42:$C$46)*0.001</f>
        <v>0</v>
      </c>
    </row>
    <row r="39" spans="1:22">
      <c r="A39" s="774"/>
      <c r="B39" s="752"/>
      <c r="C39" s="753">
        <f>B39*'Emission Factors'!$C$24*0.001</f>
        <v>0</v>
      </c>
      <c r="D39" s="753">
        <f>C39*'Emission Factors'!$D$24*0.001</f>
        <v>0</v>
      </c>
      <c r="E39" s="753">
        <f>D39*'Emission Factors'!$E$24*0.001</f>
        <v>0</v>
      </c>
      <c r="F39" s="754">
        <f t="shared" si="2"/>
        <v>0</v>
      </c>
      <c r="G39" s="755">
        <f>B39*AVERAGE('Emission Factors'!$B$42:$C$46)*0.001</f>
        <v>0</v>
      </c>
    </row>
    <row r="40" spans="1:22" ht="16.5" thickBot="1">
      <c r="A40" s="774"/>
      <c r="B40" s="752"/>
      <c r="C40" s="753">
        <f>B40*'Emission Factors'!$C$24*0.001</f>
        <v>0</v>
      </c>
      <c r="D40" s="753">
        <f>C40*'Emission Factors'!$D$24*0.001</f>
        <v>0</v>
      </c>
      <c r="E40" s="753">
        <f>D40*'Emission Factors'!$E$24*0.001</f>
        <v>0</v>
      </c>
      <c r="F40" s="754">
        <f t="shared" si="2"/>
        <v>0</v>
      </c>
      <c r="G40" s="755">
        <f>B40*AVERAGE('Emission Factors'!$B$42:$C$46)*0.001</f>
        <v>0</v>
      </c>
    </row>
    <row r="41" spans="1:22" ht="16.5" thickBot="1">
      <c r="A41" s="769" t="s">
        <v>438</v>
      </c>
      <c r="E41" s="760" t="s">
        <v>434</v>
      </c>
      <c r="F41" s="761">
        <f>SUM(F31:F40)</f>
        <v>0</v>
      </c>
      <c r="G41" s="762">
        <f>SUM(G31:G40)</f>
        <v>0</v>
      </c>
      <c r="R41" s="797"/>
      <c r="S41" s="797"/>
      <c r="T41" s="797"/>
      <c r="U41" s="797"/>
    </row>
    <row r="42" spans="1:22" ht="31.5">
      <c r="A42" s="775" t="s">
        <v>439</v>
      </c>
      <c r="B42" s="776" t="s">
        <v>440</v>
      </c>
      <c r="C42" s="759"/>
      <c r="D42" s="742"/>
      <c r="E42" s="759"/>
      <c r="F42" s="742"/>
      <c r="G42" s="742"/>
      <c r="H42" s="742"/>
      <c r="I42" s="742"/>
      <c r="J42" s="742"/>
      <c r="K42" s="742"/>
      <c r="L42" s="742"/>
      <c r="M42" s="797"/>
      <c r="N42" s="797"/>
      <c r="O42" s="712"/>
      <c r="S42" s="742"/>
      <c r="T42" s="742"/>
      <c r="U42" s="742"/>
      <c r="V42" s="742"/>
    </row>
    <row r="43" spans="1:22" s="743" customFormat="1" ht="23.25">
      <c r="A43" s="758" t="s">
        <v>435</v>
      </c>
      <c r="B43" s="759"/>
      <c r="C43" s="759"/>
      <c r="D43" s="759"/>
      <c r="E43" s="742"/>
      <c r="F43" s="759"/>
      <c r="G43" s="742"/>
      <c r="H43" s="742"/>
      <c r="I43" s="742"/>
      <c r="J43" s="742"/>
      <c r="K43" s="742"/>
      <c r="L43" s="742"/>
      <c r="M43" s="742"/>
      <c r="N43" s="742"/>
      <c r="O43" s="759"/>
    </row>
    <row r="44" spans="1:22" s="743" customFormat="1" ht="24" customHeight="1" thickBot="1">
      <c r="A44" s="2004" t="s">
        <v>441</v>
      </c>
      <c r="B44" s="2005"/>
      <c r="C44" s="2006"/>
      <c r="D44" s="1991" t="s">
        <v>427</v>
      </c>
      <c r="E44" s="1992"/>
      <c r="F44" s="741"/>
      <c r="G44" s="742"/>
      <c r="H44" s="742"/>
      <c r="S44" s="694"/>
      <c r="T44" s="694"/>
      <c r="U44" s="694"/>
      <c r="V44" s="694"/>
    </row>
    <row r="45" spans="1:22" ht="23.25">
      <c r="D45" s="744"/>
      <c r="E45" s="744"/>
      <c r="F45" s="744"/>
      <c r="G45" s="744"/>
      <c r="H45" s="745" t="s">
        <v>62</v>
      </c>
      <c r="I45" s="746" t="s">
        <v>92</v>
      </c>
      <c r="J45" s="744"/>
      <c r="K45" s="744"/>
      <c r="L45" s="744"/>
      <c r="M45" s="744"/>
      <c r="N45" s="742"/>
    </row>
    <row r="46" spans="1:22" ht="78" customHeight="1">
      <c r="A46" s="798" t="s">
        <v>428</v>
      </c>
      <c r="B46" s="747" t="s">
        <v>442</v>
      </c>
      <c r="C46" s="748" t="s">
        <v>429</v>
      </c>
      <c r="D46" s="748" t="s">
        <v>430</v>
      </c>
      <c r="E46" s="748" t="s">
        <v>420</v>
      </c>
      <c r="F46" s="748" t="s">
        <v>431</v>
      </c>
      <c r="G46" s="796" t="s">
        <v>432</v>
      </c>
      <c r="H46" s="749" t="s">
        <v>420</v>
      </c>
      <c r="I46" s="750" t="s">
        <v>420</v>
      </c>
      <c r="J46" s="744"/>
      <c r="K46" s="744"/>
      <c r="L46" s="744"/>
      <c r="M46" s="744"/>
      <c r="N46" s="744"/>
    </row>
    <row r="47" spans="1:22" ht="18.75">
      <c r="A47" s="751"/>
      <c r="B47" s="751"/>
      <c r="C47" s="753">
        <f>B47/0.113</f>
        <v>0</v>
      </c>
      <c r="D47" s="753">
        <f>C47*0.0036</f>
        <v>0</v>
      </c>
      <c r="E47" s="753">
        <f>D47*'Emission Factors'!$C$24*0.001</f>
        <v>0</v>
      </c>
      <c r="F47" s="753">
        <f>D47*'Emission Factors'!$D$24*0.001</f>
        <v>0</v>
      </c>
      <c r="G47" s="753">
        <f>D47*'Emission Factors'!$E$24*0.001</f>
        <v>0</v>
      </c>
      <c r="H47" s="754">
        <f>E47+F47+G47</f>
        <v>0</v>
      </c>
      <c r="I47" s="755">
        <f>D47*AVERAGE('Emission Factors'!$B$42:$C$46)*0.001</f>
        <v>0</v>
      </c>
      <c r="N47" s="744"/>
    </row>
    <row r="48" spans="1:22">
      <c r="A48" s="751"/>
      <c r="B48" s="751"/>
      <c r="C48" s="753">
        <f t="shared" ref="C48:C59" si="3">B48/0.113</f>
        <v>0</v>
      </c>
      <c r="D48" s="753">
        <f t="shared" ref="D48:D59" si="4">C48*0.0036</f>
        <v>0</v>
      </c>
      <c r="E48" s="753">
        <f>D48*'Emission Factors'!$C$24*0.001</f>
        <v>0</v>
      </c>
      <c r="F48" s="753">
        <f>D48*'Emission Factors'!$D$24*0.001</f>
        <v>0</v>
      </c>
      <c r="G48" s="753">
        <f>D48*'Emission Factors'!$E$24*0.001</f>
        <v>0</v>
      </c>
      <c r="H48" s="754">
        <f t="shared" ref="H48:H59" si="5">E48+F48+G48</f>
        <v>0</v>
      </c>
      <c r="I48" s="755">
        <f>D48*AVERAGE('Emission Factors'!$B$42:$C$46)*0.001</f>
        <v>0</v>
      </c>
    </row>
    <row r="49" spans="1:22">
      <c r="A49" s="751"/>
      <c r="B49" s="751"/>
      <c r="C49" s="753">
        <f t="shared" si="3"/>
        <v>0</v>
      </c>
      <c r="D49" s="753">
        <f t="shared" si="4"/>
        <v>0</v>
      </c>
      <c r="E49" s="753">
        <f>D49*'Emission Factors'!$C$24*0.001</f>
        <v>0</v>
      </c>
      <c r="F49" s="753">
        <f>D49*'Emission Factors'!$D$24*0.001</f>
        <v>0</v>
      </c>
      <c r="G49" s="753">
        <f>D49*'Emission Factors'!$E$24*0.001</f>
        <v>0</v>
      </c>
      <c r="H49" s="754">
        <f t="shared" si="5"/>
        <v>0</v>
      </c>
      <c r="I49" s="755">
        <f>D49*AVERAGE('Emission Factors'!$B$42:$C$46)*0.001</f>
        <v>0</v>
      </c>
    </row>
    <row r="50" spans="1:22">
      <c r="A50" s="751"/>
      <c r="B50" s="751"/>
      <c r="C50" s="753">
        <f t="shared" si="3"/>
        <v>0</v>
      </c>
      <c r="D50" s="753">
        <f t="shared" si="4"/>
        <v>0</v>
      </c>
      <c r="E50" s="753">
        <f>D50*'Emission Factors'!$C$24*0.001</f>
        <v>0</v>
      </c>
      <c r="F50" s="753">
        <f>D50*'Emission Factors'!$D$24*0.001</f>
        <v>0</v>
      </c>
      <c r="G50" s="753">
        <f>D50*'Emission Factors'!$E$24*0.001</f>
        <v>0</v>
      </c>
      <c r="H50" s="754">
        <f t="shared" si="5"/>
        <v>0</v>
      </c>
      <c r="I50" s="755">
        <f>D50*AVERAGE('Emission Factors'!$B$42:$C$46)*0.001</f>
        <v>0</v>
      </c>
    </row>
    <row r="51" spans="1:22">
      <c r="A51" s="751"/>
      <c r="B51" s="751"/>
      <c r="C51" s="753">
        <f t="shared" si="3"/>
        <v>0</v>
      </c>
      <c r="D51" s="753">
        <f t="shared" si="4"/>
        <v>0</v>
      </c>
      <c r="E51" s="753">
        <f>D51*'Emission Factors'!$C$24*0.001</f>
        <v>0</v>
      </c>
      <c r="F51" s="753">
        <f>D51*'Emission Factors'!$D$24*0.001</f>
        <v>0</v>
      </c>
      <c r="G51" s="753">
        <f>D51*'Emission Factors'!$E$24*0.001</f>
        <v>0</v>
      </c>
      <c r="H51" s="754">
        <f t="shared" si="5"/>
        <v>0</v>
      </c>
      <c r="I51" s="755">
        <f>D51*AVERAGE('Emission Factors'!$B$42:$C$46)*0.001</f>
        <v>0</v>
      </c>
    </row>
    <row r="52" spans="1:22">
      <c r="A52" s="751"/>
      <c r="B52" s="751"/>
      <c r="C52" s="753">
        <f t="shared" si="3"/>
        <v>0</v>
      </c>
      <c r="D52" s="753">
        <f t="shared" si="4"/>
        <v>0</v>
      </c>
      <c r="E52" s="753">
        <f>D52*'Emission Factors'!$C$24*0.001</f>
        <v>0</v>
      </c>
      <c r="F52" s="753">
        <f>D52*'Emission Factors'!$D$24*0.001</f>
        <v>0</v>
      </c>
      <c r="G52" s="753">
        <f>D52*'Emission Factors'!$E$24*0.001</f>
        <v>0</v>
      </c>
      <c r="H52" s="754">
        <f t="shared" si="5"/>
        <v>0</v>
      </c>
      <c r="I52" s="755">
        <f>D52*AVERAGE('Emission Factors'!$B$42:$C$46)*0.001</f>
        <v>0</v>
      </c>
    </row>
    <row r="53" spans="1:22">
      <c r="A53" s="751"/>
      <c r="B53" s="751"/>
      <c r="C53" s="753">
        <f t="shared" si="3"/>
        <v>0</v>
      </c>
      <c r="D53" s="753">
        <f t="shared" si="4"/>
        <v>0</v>
      </c>
      <c r="E53" s="753">
        <f>D53*'Emission Factors'!$C$24*0.001</f>
        <v>0</v>
      </c>
      <c r="F53" s="753">
        <f>D53*'Emission Factors'!$D$24*0.001</f>
        <v>0</v>
      </c>
      <c r="G53" s="753">
        <f>D53*'Emission Factors'!$E$24*0.001</f>
        <v>0</v>
      </c>
      <c r="H53" s="754">
        <f t="shared" si="5"/>
        <v>0</v>
      </c>
      <c r="I53" s="755">
        <f>D53*AVERAGE('Emission Factors'!$B$42:$C$46)*0.001</f>
        <v>0</v>
      </c>
    </row>
    <row r="54" spans="1:22">
      <c r="A54" s="751"/>
      <c r="B54" s="751"/>
      <c r="C54" s="753">
        <f t="shared" si="3"/>
        <v>0</v>
      </c>
      <c r="D54" s="753">
        <f t="shared" si="4"/>
        <v>0</v>
      </c>
      <c r="E54" s="753">
        <f>D54*'Emission Factors'!$C$24*0.001</f>
        <v>0</v>
      </c>
      <c r="F54" s="753">
        <f>D54*'Emission Factors'!$D$24*0.001</f>
        <v>0</v>
      </c>
      <c r="G54" s="753">
        <f>D54*'Emission Factors'!$E$24*0.001</f>
        <v>0</v>
      </c>
      <c r="H54" s="754">
        <f t="shared" si="5"/>
        <v>0</v>
      </c>
      <c r="I54" s="755">
        <f>D54*AVERAGE('Emission Factors'!$B$42:$C$46)*0.001</f>
        <v>0</v>
      </c>
    </row>
    <row r="55" spans="1:22">
      <c r="A55" s="751"/>
      <c r="B55" s="751"/>
      <c r="C55" s="753">
        <f t="shared" si="3"/>
        <v>0</v>
      </c>
      <c r="D55" s="753">
        <f t="shared" si="4"/>
        <v>0</v>
      </c>
      <c r="E55" s="753">
        <f>D55*'Emission Factors'!$C$24*0.001</f>
        <v>0</v>
      </c>
      <c r="F55" s="753">
        <f>D55*'Emission Factors'!$D$24*0.001</f>
        <v>0</v>
      </c>
      <c r="G55" s="753">
        <f>D55*'Emission Factors'!$E$24*0.001</f>
        <v>0</v>
      </c>
      <c r="H55" s="754">
        <f t="shared" si="5"/>
        <v>0</v>
      </c>
      <c r="I55" s="755">
        <f>D55*AVERAGE('Emission Factors'!$B$42:$C$46)*0.001</f>
        <v>0</v>
      </c>
    </row>
    <row r="56" spans="1:22">
      <c r="A56" s="751"/>
      <c r="B56" s="751"/>
      <c r="C56" s="753"/>
      <c r="D56" s="753"/>
      <c r="E56" s="753"/>
      <c r="F56" s="753"/>
      <c r="G56" s="753"/>
      <c r="H56" s="754"/>
      <c r="I56" s="755"/>
    </row>
    <row r="57" spans="1:22">
      <c r="A57" s="751"/>
      <c r="B57" s="751"/>
      <c r="C57" s="753"/>
      <c r="D57" s="753"/>
      <c r="E57" s="753"/>
      <c r="F57" s="753"/>
      <c r="G57" s="753"/>
      <c r="H57" s="754"/>
      <c r="I57" s="755"/>
    </row>
    <row r="58" spans="1:22">
      <c r="A58" s="751"/>
      <c r="B58" s="751"/>
      <c r="C58" s="753"/>
      <c r="D58" s="753"/>
      <c r="E58" s="753"/>
      <c r="F58" s="753"/>
      <c r="G58" s="753"/>
      <c r="H58" s="754"/>
      <c r="I58" s="755"/>
    </row>
    <row r="59" spans="1:22" ht="16.5" thickBot="1">
      <c r="A59" s="751"/>
      <c r="B59" s="751"/>
      <c r="C59" s="753">
        <f t="shared" si="3"/>
        <v>0</v>
      </c>
      <c r="D59" s="753">
        <f t="shared" si="4"/>
        <v>0</v>
      </c>
      <c r="E59" s="753">
        <f>D59*'Emission Factors'!$C$24*0.001</f>
        <v>0</v>
      </c>
      <c r="F59" s="753">
        <f>D59*'Emission Factors'!$D$24*0.001</f>
        <v>0</v>
      </c>
      <c r="G59" s="753">
        <f>D59*'Emission Factors'!$E$24*0.001</f>
        <v>0</v>
      </c>
      <c r="H59" s="754">
        <f t="shared" si="5"/>
        <v>0</v>
      </c>
      <c r="I59" s="755">
        <f>D59*AVERAGE('Emission Factors'!$B$42:$C$46)*0.001</f>
        <v>0</v>
      </c>
    </row>
    <row r="60" spans="1:22" ht="16.5" thickBot="1">
      <c r="A60" s="769" t="s">
        <v>443</v>
      </c>
      <c r="G60" s="760" t="s">
        <v>434</v>
      </c>
      <c r="H60" s="761">
        <f>SUM(H47:H59)</f>
        <v>0</v>
      </c>
      <c r="I60" s="762">
        <f>SUM(I47:I59)</f>
        <v>0</v>
      </c>
    </row>
    <row r="61" spans="1:22" ht="23.25">
      <c r="V61" s="742"/>
    </row>
    <row r="62" spans="1:22" s="740" customFormat="1" ht="36">
      <c r="A62" s="1993" t="s">
        <v>68</v>
      </c>
      <c r="B62" s="1994"/>
      <c r="C62" s="1994"/>
      <c r="D62" s="1994"/>
      <c r="E62" s="1994"/>
      <c r="F62" s="1994"/>
      <c r="G62" s="1994"/>
      <c r="H62" s="1994"/>
      <c r="I62" s="1994"/>
      <c r="J62" s="1994"/>
      <c r="K62" s="1994"/>
      <c r="L62" s="1994"/>
      <c r="M62" s="1994"/>
      <c r="N62" s="1994"/>
      <c r="O62" s="1994"/>
      <c r="P62" s="1994"/>
      <c r="Q62" s="1994"/>
      <c r="R62" s="694"/>
      <c r="V62" s="694"/>
    </row>
    <row r="63" spans="1:22" s="743" customFormat="1" ht="24" thickBot="1">
      <c r="A63" s="2004" t="s">
        <v>444</v>
      </c>
      <c r="B63" s="2005"/>
      <c r="C63" s="2006"/>
      <c r="D63" s="1991" t="s">
        <v>427</v>
      </c>
      <c r="E63" s="1992"/>
      <c r="F63" s="759"/>
      <c r="G63" s="742"/>
      <c r="H63" s="742"/>
      <c r="I63" s="742"/>
      <c r="J63" s="742"/>
      <c r="K63" s="742"/>
      <c r="L63" s="742"/>
      <c r="M63" s="742"/>
      <c r="N63" s="742"/>
      <c r="O63" s="767"/>
      <c r="Q63" s="767"/>
      <c r="R63" s="694"/>
      <c r="S63" s="742"/>
      <c r="T63" s="742"/>
      <c r="U63" s="742"/>
      <c r="V63" s="694"/>
    </row>
    <row r="64" spans="1:22" ht="36" customHeight="1">
      <c r="E64" s="744"/>
      <c r="F64" s="744"/>
      <c r="G64" s="744"/>
      <c r="H64" s="745" t="s">
        <v>62</v>
      </c>
      <c r="I64" s="746" t="s">
        <v>92</v>
      </c>
      <c r="K64" s="740"/>
      <c r="L64" s="1995" t="s">
        <v>445</v>
      </c>
      <c r="M64" s="1996"/>
      <c r="N64" s="1997"/>
    </row>
    <row r="65" spans="1:22" ht="85.5" customHeight="1">
      <c r="A65" s="773" t="s">
        <v>428</v>
      </c>
      <c r="B65" s="748" t="s">
        <v>446</v>
      </c>
      <c r="C65" s="748" t="s">
        <v>447</v>
      </c>
      <c r="D65" s="748" t="s">
        <v>448</v>
      </c>
      <c r="E65" s="748" t="s">
        <v>420</v>
      </c>
      <c r="F65" s="748" t="s">
        <v>431</v>
      </c>
      <c r="G65" s="748" t="s">
        <v>432</v>
      </c>
      <c r="H65" s="749" t="s">
        <v>420</v>
      </c>
      <c r="I65" s="750" t="s">
        <v>420</v>
      </c>
      <c r="K65" s="743"/>
      <c r="L65" s="799" t="s">
        <v>449</v>
      </c>
      <c r="M65" s="705" t="s">
        <v>450</v>
      </c>
      <c r="N65" s="800" t="s">
        <v>451</v>
      </c>
    </row>
    <row r="66" spans="1:22">
      <c r="A66" s="774"/>
      <c r="B66" s="790"/>
      <c r="C66" s="753">
        <f>B66/1000</f>
        <v>0</v>
      </c>
      <c r="D66" s="753">
        <f>'Emission Factors'!$B$69*C66</f>
        <v>0</v>
      </c>
      <c r="E66" s="753">
        <f>'Emission Factors'!$C$69*D66*0.001</f>
        <v>0</v>
      </c>
      <c r="F66" s="753">
        <f>'Emission Factors'!$D$69*D66*0.001</f>
        <v>0</v>
      </c>
      <c r="G66" s="753">
        <f>'Emission Factors'!$E$69*D66*0.001</f>
        <v>0</v>
      </c>
      <c r="H66" s="754">
        <f>E66+F66+G66</f>
        <v>0</v>
      </c>
      <c r="I66" s="755">
        <f>D66*'Emission Factors'!$G$69*0.001</f>
        <v>0</v>
      </c>
      <c r="L66" s="801">
        <f t="shared" ref="L66:L75" si="6">B66*0.264</f>
        <v>0</v>
      </c>
      <c r="M66" s="764">
        <f>SUM(L66*35.97)</f>
        <v>0</v>
      </c>
      <c r="N66" s="802">
        <f>SUM(M66*0.002516)</f>
        <v>0</v>
      </c>
    </row>
    <row r="67" spans="1:22">
      <c r="A67" s="774"/>
      <c r="B67" s="752"/>
      <c r="C67" s="753">
        <f t="shared" ref="C67:C75" si="7">B67/1000</f>
        <v>0</v>
      </c>
      <c r="D67" s="753">
        <f>'Emission Factors'!$B$69*C67</f>
        <v>0</v>
      </c>
      <c r="E67" s="753">
        <f>'Emission Factors'!$C$69*D67*0.001</f>
        <v>0</v>
      </c>
      <c r="F67" s="753">
        <f>'Emission Factors'!$D$69*D67*0.001</f>
        <v>0</v>
      </c>
      <c r="G67" s="753">
        <f>'Emission Factors'!$E$69*D67*0.001</f>
        <v>0</v>
      </c>
      <c r="H67" s="754">
        <f t="shared" ref="H67:H75" si="8">E67+F67+G67</f>
        <v>0</v>
      </c>
      <c r="I67" s="755">
        <f>D67*'Emission Factors'!$G$69*0.001</f>
        <v>0</v>
      </c>
      <c r="L67" s="801">
        <f t="shared" si="6"/>
        <v>0</v>
      </c>
      <c r="M67" s="764">
        <f t="shared" ref="M67:M75" si="9">SUM(L67*35.97)</f>
        <v>0</v>
      </c>
      <c r="N67" s="802">
        <f t="shared" ref="N67:N75" si="10">SUM(M67*0.002516)</f>
        <v>0</v>
      </c>
    </row>
    <row r="68" spans="1:22">
      <c r="A68" s="774"/>
      <c r="B68" s="752"/>
      <c r="C68" s="753">
        <f t="shared" si="7"/>
        <v>0</v>
      </c>
      <c r="D68" s="753">
        <f>'Emission Factors'!$B$69*C68</f>
        <v>0</v>
      </c>
      <c r="E68" s="753">
        <f>'Emission Factors'!$C$69*D68*0.001</f>
        <v>0</v>
      </c>
      <c r="F68" s="753">
        <f>'Emission Factors'!$D$69*D68*0.001</f>
        <v>0</v>
      </c>
      <c r="G68" s="753">
        <f>'Emission Factors'!$E$69*D68*0.001</f>
        <v>0</v>
      </c>
      <c r="H68" s="754">
        <f t="shared" si="8"/>
        <v>0</v>
      </c>
      <c r="I68" s="755">
        <f>D68*'Emission Factors'!$G$69*0.001</f>
        <v>0</v>
      </c>
      <c r="L68" s="801">
        <f t="shared" si="6"/>
        <v>0</v>
      </c>
      <c r="M68" s="764">
        <f t="shared" si="9"/>
        <v>0</v>
      </c>
      <c r="N68" s="802">
        <f t="shared" si="10"/>
        <v>0</v>
      </c>
    </row>
    <row r="69" spans="1:22">
      <c r="A69" s="774"/>
      <c r="B69" s="752"/>
      <c r="C69" s="753">
        <f t="shared" si="7"/>
        <v>0</v>
      </c>
      <c r="D69" s="753">
        <f>'Emission Factors'!$B$69*C69</f>
        <v>0</v>
      </c>
      <c r="E69" s="753">
        <f>'Emission Factors'!$C$69*D69*0.001</f>
        <v>0</v>
      </c>
      <c r="F69" s="753">
        <f>'Emission Factors'!$D$69*D69*0.001</f>
        <v>0</v>
      </c>
      <c r="G69" s="753">
        <f>'Emission Factors'!$E$69*D69*0.001</f>
        <v>0</v>
      </c>
      <c r="H69" s="754">
        <f t="shared" si="8"/>
        <v>0</v>
      </c>
      <c r="I69" s="755">
        <f>D69*'Emission Factors'!$G$69*0.001</f>
        <v>0</v>
      </c>
      <c r="L69" s="801">
        <f t="shared" si="6"/>
        <v>0</v>
      </c>
      <c r="M69" s="764">
        <f t="shared" si="9"/>
        <v>0</v>
      </c>
      <c r="N69" s="802">
        <f t="shared" si="10"/>
        <v>0</v>
      </c>
    </row>
    <row r="70" spans="1:22">
      <c r="A70" s="774"/>
      <c r="B70" s="752"/>
      <c r="C70" s="753">
        <f t="shared" si="7"/>
        <v>0</v>
      </c>
      <c r="D70" s="753">
        <f>'Emission Factors'!$B$69*C70</f>
        <v>0</v>
      </c>
      <c r="E70" s="753">
        <f>'Emission Factors'!$C$69*D70*0.001</f>
        <v>0</v>
      </c>
      <c r="F70" s="753">
        <f>'Emission Factors'!$D$69*D70*0.001</f>
        <v>0</v>
      </c>
      <c r="G70" s="753">
        <f>'Emission Factors'!$E$69*D70*0.001</f>
        <v>0</v>
      </c>
      <c r="H70" s="754">
        <f t="shared" si="8"/>
        <v>0</v>
      </c>
      <c r="I70" s="755">
        <f>D70*'Emission Factors'!$G$69*0.001</f>
        <v>0</v>
      </c>
      <c r="L70" s="801">
        <f t="shared" si="6"/>
        <v>0</v>
      </c>
      <c r="M70" s="764">
        <f t="shared" si="9"/>
        <v>0</v>
      </c>
      <c r="N70" s="802">
        <f t="shared" si="10"/>
        <v>0</v>
      </c>
    </row>
    <row r="71" spans="1:22">
      <c r="A71" s="774"/>
      <c r="B71" s="752"/>
      <c r="C71" s="753">
        <f t="shared" si="7"/>
        <v>0</v>
      </c>
      <c r="D71" s="753">
        <f>'Emission Factors'!$B$69*C71</f>
        <v>0</v>
      </c>
      <c r="E71" s="753">
        <f>'Emission Factors'!$C$69*D71*0.001</f>
        <v>0</v>
      </c>
      <c r="F71" s="753">
        <f>'Emission Factors'!$D$69*D71*0.001</f>
        <v>0</v>
      </c>
      <c r="G71" s="753">
        <f>'Emission Factors'!$E$69*D71*0.001</f>
        <v>0</v>
      </c>
      <c r="H71" s="754">
        <f t="shared" si="8"/>
        <v>0</v>
      </c>
      <c r="I71" s="755">
        <f>D71*'Emission Factors'!$G$69*0.001</f>
        <v>0</v>
      </c>
      <c r="L71" s="801">
        <f t="shared" si="6"/>
        <v>0</v>
      </c>
      <c r="M71" s="764">
        <f t="shared" si="9"/>
        <v>0</v>
      </c>
      <c r="N71" s="802">
        <f t="shared" si="10"/>
        <v>0</v>
      </c>
    </row>
    <row r="72" spans="1:22">
      <c r="A72" s="774"/>
      <c r="B72" s="752"/>
      <c r="C72" s="753">
        <f t="shared" si="7"/>
        <v>0</v>
      </c>
      <c r="D72" s="753">
        <f>'Emission Factors'!$B$69*C72</f>
        <v>0</v>
      </c>
      <c r="E72" s="753">
        <f>'Emission Factors'!$C$69*D72*0.001</f>
        <v>0</v>
      </c>
      <c r="F72" s="753">
        <f>'Emission Factors'!$D$69*D72*0.001</f>
        <v>0</v>
      </c>
      <c r="G72" s="753">
        <f>'Emission Factors'!$E$69*D72*0.001</f>
        <v>0</v>
      </c>
      <c r="H72" s="754">
        <f t="shared" si="8"/>
        <v>0</v>
      </c>
      <c r="I72" s="755">
        <f>D72*'Emission Factors'!$G$69*0.001</f>
        <v>0</v>
      </c>
      <c r="L72" s="801">
        <f t="shared" si="6"/>
        <v>0</v>
      </c>
      <c r="M72" s="764">
        <f t="shared" si="9"/>
        <v>0</v>
      </c>
      <c r="N72" s="802">
        <f t="shared" si="10"/>
        <v>0</v>
      </c>
    </row>
    <row r="73" spans="1:22">
      <c r="A73" s="774"/>
      <c r="B73" s="752"/>
      <c r="C73" s="753">
        <f t="shared" si="7"/>
        <v>0</v>
      </c>
      <c r="D73" s="753">
        <f>'Emission Factors'!$B$69*C73</f>
        <v>0</v>
      </c>
      <c r="E73" s="753">
        <f>'Emission Factors'!$C$69*D73*0.001</f>
        <v>0</v>
      </c>
      <c r="F73" s="753">
        <f>'Emission Factors'!$D$69*D73*0.001</f>
        <v>0</v>
      </c>
      <c r="G73" s="753">
        <f>'Emission Factors'!$E$69*D73*0.001</f>
        <v>0</v>
      </c>
      <c r="H73" s="754">
        <f t="shared" si="8"/>
        <v>0</v>
      </c>
      <c r="I73" s="755">
        <f>D73*'Emission Factors'!$G$69*0.001</f>
        <v>0</v>
      </c>
      <c r="L73" s="801">
        <f t="shared" si="6"/>
        <v>0</v>
      </c>
      <c r="M73" s="764">
        <f t="shared" si="9"/>
        <v>0</v>
      </c>
      <c r="N73" s="802">
        <f t="shared" si="10"/>
        <v>0</v>
      </c>
    </row>
    <row r="74" spans="1:22">
      <c r="A74" s="774"/>
      <c r="B74" s="752"/>
      <c r="C74" s="753">
        <f t="shared" si="7"/>
        <v>0</v>
      </c>
      <c r="D74" s="753">
        <f>'Emission Factors'!$B$69*C74</f>
        <v>0</v>
      </c>
      <c r="E74" s="753">
        <f>'Emission Factors'!$C$69*D74*0.001</f>
        <v>0</v>
      </c>
      <c r="F74" s="753">
        <f>'Emission Factors'!$D$69*D74*0.001</f>
        <v>0</v>
      </c>
      <c r="G74" s="753">
        <f>'Emission Factors'!$E$69*D74*0.001</f>
        <v>0</v>
      </c>
      <c r="H74" s="754">
        <f t="shared" si="8"/>
        <v>0</v>
      </c>
      <c r="I74" s="755">
        <f>D74*'Emission Factors'!$G$69*0.001</f>
        <v>0</v>
      </c>
      <c r="L74" s="801">
        <f t="shared" si="6"/>
        <v>0</v>
      </c>
      <c r="M74" s="764">
        <f t="shared" si="9"/>
        <v>0</v>
      </c>
      <c r="N74" s="802">
        <f t="shared" si="10"/>
        <v>0</v>
      </c>
    </row>
    <row r="75" spans="1:22" ht="24" thickBot="1">
      <c r="A75" s="774"/>
      <c r="B75" s="752"/>
      <c r="C75" s="753">
        <f t="shared" si="7"/>
        <v>0</v>
      </c>
      <c r="D75" s="753">
        <f>'Emission Factors'!$B$69*C75</f>
        <v>0</v>
      </c>
      <c r="E75" s="753">
        <f>'Emission Factors'!$C$69*D75*0.001</f>
        <v>0</v>
      </c>
      <c r="F75" s="753">
        <f>'Emission Factors'!$D$69*D75*0.001</f>
        <v>0</v>
      </c>
      <c r="G75" s="753">
        <f>'Emission Factors'!$E$69*D75*0.001</f>
        <v>0</v>
      </c>
      <c r="H75" s="771">
        <f t="shared" si="8"/>
        <v>0</v>
      </c>
      <c r="I75" s="755">
        <f>D75*'Emission Factors'!$G$69*0.001</f>
        <v>0</v>
      </c>
      <c r="L75" s="803">
        <f t="shared" si="6"/>
        <v>0</v>
      </c>
      <c r="M75" s="804">
        <f t="shared" si="9"/>
        <v>0</v>
      </c>
      <c r="N75" s="805">
        <f t="shared" si="10"/>
        <v>0</v>
      </c>
      <c r="O75" s="743"/>
    </row>
    <row r="76" spans="1:22" ht="32.25" thickBot="1">
      <c r="A76" s="775" t="s">
        <v>452</v>
      </c>
      <c r="B76" s="776" t="s">
        <v>440</v>
      </c>
      <c r="G76" s="760" t="s">
        <v>434</v>
      </c>
      <c r="H76" s="761">
        <f>SUM(H66:H75)</f>
        <v>0</v>
      </c>
      <c r="I76" s="762">
        <f>SUM(I66:I75)</f>
        <v>0</v>
      </c>
      <c r="V76" s="743"/>
    </row>
    <row r="77" spans="1:22" s="743" customFormat="1" ht="23.25">
      <c r="A77" s="758" t="s">
        <v>435</v>
      </c>
      <c r="R77" s="694"/>
      <c r="V77" s="694"/>
    </row>
    <row r="78" spans="1:22" s="743" customFormat="1" ht="24" thickBot="1">
      <c r="A78" s="2004" t="s">
        <v>453</v>
      </c>
      <c r="B78" s="2005"/>
      <c r="C78" s="2006"/>
      <c r="D78" s="1991" t="s">
        <v>427</v>
      </c>
      <c r="E78" s="1992"/>
      <c r="F78" s="759"/>
      <c r="G78" s="742"/>
      <c r="H78" s="742"/>
      <c r="R78" s="694"/>
      <c r="V78" s="694"/>
    </row>
    <row r="79" spans="1:22" ht="23.45" customHeight="1">
      <c r="E79" s="744"/>
      <c r="F79" s="744"/>
      <c r="G79" s="744"/>
      <c r="H79" s="745" t="s">
        <v>62</v>
      </c>
      <c r="I79" s="746" t="s">
        <v>92</v>
      </c>
      <c r="J79" s="743"/>
      <c r="L79" s="1995" t="s">
        <v>445</v>
      </c>
      <c r="M79" s="1996"/>
      <c r="N79" s="1997"/>
    </row>
    <row r="80" spans="1:22" ht="77.25" customHeight="1">
      <c r="A80" s="773" t="s">
        <v>428</v>
      </c>
      <c r="B80" s="747" t="s">
        <v>442</v>
      </c>
      <c r="C80" s="748" t="s">
        <v>447</v>
      </c>
      <c r="D80" s="748" t="s">
        <v>448</v>
      </c>
      <c r="E80" s="748" t="s">
        <v>420</v>
      </c>
      <c r="F80" s="748" t="s">
        <v>431</v>
      </c>
      <c r="G80" s="748" t="s">
        <v>432</v>
      </c>
      <c r="H80" s="749" t="s">
        <v>420</v>
      </c>
      <c r="I80" s="750" t="s">
        <v>420</v>
      </c>
      <c r="J80" s="743"/>
      <c r="L80" s="799" t="s">
        <v>449</v>
      </c>
      <c r="M80" s="705" t="s">
        <v>450</v>
      </c>
      <c r="N80" s="800" t="s">
        <v>451</v>
      </c>
    </row>
    <row r="81" spans="1:22">
      <c r="A81" s="774"/>
      <c r="B81" s="751"/>
      <c r="C81" s="753">
        <f>(B81/'Emission Factors'!$B$88)/1000</f>
        <v>0</v>
      </c>
      <c r="D81" s="753">
        <f>'Emission Factors'!$B$69*C81</f>
        <v>0</v>
      </c>
      <c r="E81" s="753">
        <f>'Emission Factors'!$C$69*D81*0.001</f>
        <v>0</v>
      </c>
      <c r="F81" s="753">
        <f>'Emission Factors'!$D$69*D81*0.001</f>
        <v>0</v>
      </c>
      <c r="G81" s="753">
        <f>'Emission Factors'!$E$69*D81*0.001</f>
        <v>0</v>
      </c>
      <c r="H81" s="754">
        <f t="shared" ref="H81:H90" si="11">E81+F81+G81</f>
        <v>0</v>
      </c>
      <c r="I81" s="755">
        <f>D81*'Emission Factors'!$G$69*0.001</f>
        <v>0</v>
      </c>
      <c r="L81" s="801">
        <f t="shared" ref="L81:L90" si="12">C81*0.264</f>
        <v>0</v>
      </c>
      <c r="M81" s="764">
        <f>SUM(L81*35.97)</f>
        <v>0</v>
      </c>
      <c r="N81" s="802">
        <f>SUM(M81*0.002516)</f>
        <v>0</v>
      </c>
    </row>
    <row r="82" spans="1:22">
      <c r="A82" s="774"/>
      <c r="B82" s="751"/>
      <c r="C82" s="753">
        <f>(B82/'Emission Factors'!$B$88)/1000</f>
        <v>0</v>
      </c>
      <c r="D82" s="753">
        <f>'Emission Factors'!$B$69*C82</f>
        <v>0</v>
      </c>
      <c r="E82" s="753">
        <f>'Emission Factors'!$C$69*D82*0.001</f>
        <v>0</v>
      </c>
      <c r="F82" s="753">
        <f>'Emission Factors'!$D$69*D82*0.001</f>
        <v>0</v>
      </c>
      <c r="G82" s="753">
        <f>'Emission Factors'!$E$69*D82*0.001</f>
        <v>0</v>
      </c>
      <c r="H82" s="754">
        <f t="shared" si="11"/>
        <v>0</v>
      </c>
      <c r="I82" s="755">
        <f>D82*'Emission Factors'!$G$69*0.001</f>
        <v>0</v>
      </c>
      <c r="L82" s="801">
        <f t="shared" si="12"/>
        <v>0</v>
      </c>
      <c r="M82" s="764">
        <f>SUM(L82*35.97)</f>
        <v>0</v>
      </c>
      <c r="N82" s="802">
        <f t="shared" ref="N82:N90" si="13">SUM(M82*0.002516)</f>
        <v>0</v>
      </c>
    </row>
    <row r="83" spans="1:22">
      <c r="A83" s="774"/>
      <c r="B83" s="751"/>
      <c r="C83" s="753">
        <f>(B83/'Emission Factors'!$B$88)/1000</f>
        <v>0</v>
      </c>
      <c r="D83" s="753">
        <f>'Emission Factors'!$B$69*C83</f>
        <v>0</v>
      </c>
      <c r="E83" s="753">
        <f>'Emission Factors'!$C$69*D83*0.001</f>
        <v>0</v>
      </c>
      <c r="F83" s="753">
        <f>'Emission Factors'!$D$69*D83*0.001</f>
        <v>0</v>
      </c>
      <c r="G83" s="753">
        <f>'Emission Factors'!$E$69*D83*0.001</f>
        <v>0</v>
      </c>
      <c r="H83" s="754">
        <f t="shared" si="11"/>
        <v>0</v>
      </c>
      <c r="I83" s="755">
        <f>D83*'Emission Factors'!$G$69*0.001</f>
        <v>0</v>
      </c>
      <c r="L83" s="801">
        <f t="shared" si="12"/>
        <v>0</v>
      </c>
      <c r="M83" s="764">
        <f t="shared" ref="M83:M90" si="14">SUM(L83*35.97)</f>
        <v>0</v>
      </c>
      <c r="N83" s="802">
        <f t="shared" si="13"/>
        <v>0</v>
      </c>
    </row>
    <row r="84" spans="1:22">
      <c r="A84" s="774"/>
      <c r="B84" s="751"/>
      <c r="C84" s="753">
        <f>(B84/'Emission Factors'!$B$88)/1000</f>
        <v>0</v>
      </c>
      <c r="D84" s="753">
        <f>'Emission Factors'!$B$69*C84</f>
        <v>0</v>
      </c>
      <c r="E84" s="753">
        <f>'Emission Factors'!$C$69*D84*0.001</f>
        <v>0</v>
      </c>
      <c r="F84" s="753">
        <f>'Emission Factors'!$D$69*D84*0.001</f>
        <v>0</v>
      </c>
      <c r="G84" s="753">
        <f>'Emission Factors'!$E$69*D84*0.001</f>
        <v>0</v>
      </c>
      <c r="H84" s="754">
        <f t="shared" si="11"/>
        <v>0</v>
      </c>
      <c r="I84" s="755">
        <f>D84*'Emission Factors'!$G$69*0.001</f>
        <v>0</v>
      </c>
      <c r="L84" s="801">
        <f t="shared" si="12"/>
        <v>0</v>
      </c>
      <c r="M84" s="764">
        <f t="shared" si="14"/>
        <v>0</v>
      </c>
      <c r="N84" s="802">
        <f t="shared" si="13"/>
        <v>0</v>
      </c>
    </row>
    <row r="85" spans="1:22">
      <c r="A85" s="774"/>
      <c r="B85" s="751"/>
      <c r="C85" s="753">
        <f>(B85/'Emission Factors'!$B$88)/1000</f>
        <v>0</v>
      </c>
      <c r="D85" s="753">
        <f>'Emission Factors'!$B$69*C85</f>
        <v>0</v>
      </c>
      <c r="E85" s="753">
        <f>'Emission Factors'!$C$69*D85*0.001</f>
        <v>0</v>
      </c>
      <c r="F85" s="753">
        <f>'Emission Factors'!$D$69*D85*0.001</f>
        <v>0</v>
      </c>
      <c r="G85" s="753">
        <f>'Emission Factors'!$E$69*D85*0.001</f>
        <v>0</v>
      </c>
      <c r="H85" s="754">
        <f t="shared" si="11"/>
        <v>0</v>
      </c>
      <c r="I85" s="755">
        <f>D85*'Emission Factors'!$G$69*0.001</f>
        <v>0</v>
      </c>
      <c r="L85" s="801">
        <f t="shared" si="12"/>
        <v>0</v>
      </c>
      <c r="M85" s="764">
        <f t="shared" si="14"/>
        <v>0</v>
      </c>
      <c r="N85" s="802">
        <f t="shared" si="13"/>
        <v>0</v>
      </c>
    </row>
    <row r="86" spans="1:22">
      <c r="A86" s="774"/>
      <c r="B86" s="751"/>
      <c r="C86" s="753">
        <f>(B86/'Emission Factors'!$B$88)/1000</f>
        <v>0</v>
      </c>
      <c r="D86" s="753">
        <f>'Emission Factors'!$B$69*C86</f>
        <v>0</v>
      </c>
      <c r="E86" s="753">
        <f>'Emission Factors'!$C$69*D86*0.001</f>
        <v>0</v>
      </c>
      <c r="F86" s="753">
        <f>'Emission Factors'!$D$69*D86*0.001</f>
        <v>0</v>
      </c>
      <c r="G86" s="753">
        <f>'Emission Factors'!$E$69*D86*0.001</f>
        <v>0</v>
      </c>
      <c r="H86" s="754">
        <f t="shared" si="11"/>
        <v>0</v>
      </c>
      <c r="I86" s="755">
        <f>D86*'Emission Factors'!$G$69*0.001</f>
        <v>0</v>
      </c>
      <c r="L86" s="801">
        <f t="shared" si="12"/>
        <v>0</v>
      </c>
      <c r="M86" s="764">
        <f t="shared" si="14"/>
        <v>0</v>
      </c>
      <c r="N86" s="802">
        <f t="shared" si="13"/>
        <v>0</v>
      </c>
    </row>
    <row r="87" spans="1:22">
      <c r="A87" s="774"/>
      <c r="B87" s="751"/>
      <c r="C87" s="753">
        <f>(B87/'Emission Factors'!$B$88)/1000</f>
        <v>0</v>
      </c>
      <c r="D87" s="753">
        <f>'Emission Factors'!$B$69*C87</f>
        <v>0</v>
      </c>
      <c r="E87" s="753">
        <f>'Emission Factors'!$C$69*D87*0.001</f>
        <v>0</v>
      </c>
      <c r="F87" s="753">
        <f>'Emission Factors'!$D$69*D87*0.001</f>
        <v>0</v>
      </c>
      <c r="G87" s="753">
        <f>'Emission Factors'!$E$69*D87*0.001</f>
        <v>0</v>
      </c>
      <c r="H87" s="754">
        <f t="shared" si="11"/>
        <v>0</v>
      </c>
      <c r="I87" s="755">
        <f>D87*'Emission Factors'!$G$69*0.001</f>
        <v>0</v>
      </c>
      <c r="L87" s="801">
        <f t="shared" si="12"/>
        <v>0</v>
      </c>
      <c r="M87" s="764">
        <f t="shared" si="14"/>
        <v>0</v>
      </c>
      <c r="N87" s="802">
        <f t="shared" si="13"/>
        <v>0</v>
      </c>
    </row>
    <row r="88" spans="1:22">
      <c r="A88" s="774"/>
      <c r="B88" s="751"/>
      <c r="C88" s="753">
        <f>(B88/'Emission Factors'!$B$88)/1000</f>
        <v>0</v>
      </c>
      <c r="D88" s="753">
        <f>'Emission Factors'!$B$69*C88</f>
        <v>0</v>
      </c>
      <c r="E88" s="753">
        <f>'Emission Factors'!$C$69*D88*0.001</f>
        <v>0</v>
      </c>
      <c r="F88" s="753">
        <f>'Emission Factors'!$D$69*D88*0.001</f>
        <v>0</v>
      </c>
      <c r="G88" s="753">
        <f>'Emission Factors'!$E$69*D88*0.001</f>
        <v>0</v>
      </c>
      <c r="H88" s="754">
        <f t="shared" si="11"/>
        <v>0</v>
      </c>
      <c r="I88" s="755">
        <f>D88*'Emission Factors'!$G$69*0.001</f>
        <v>0</v>
      </c>
      <c r="L88" s="801">
        <f t="shared" si="12"/>
        <v>0</v>
      </c>
      <c r="M88" s="764">
        <f t="shared" si="14"/>
        <v>0</v>
      </c>
      <c r="N88" s="802">
        <f t="shared" si="13"/>
        <v>0</v>
      </c>
    </row>
    <row r="89" spans="1:22">
      <c r="A89" s="774"/>
      <c r="B89" s="751"/>
      <c r="C89" s="753">
        <f>(B89/'Emission Factors'!$B$88)/1000</f>
        <v>0</v>
      </c>
      <c r="D89" s="753">
        <f>'Emission Factors'!$B$69*C89</f>
        <v>0</v>
      </c>
      <c r="E89" s="753">
        <f>'Emission Factors'!$C$69*D89*0.001</f>
        <v>0</v>
      </c>
      <c r="F89" s="753">
        <f>'Emission Factors'!$D$69*D89*0.001</f>
        <v>0</v>
      </c>
      <c r="G89" s="753">
        <f>'Emission Factors'!$E$69*D89*0.001</f>
        <v>0</v>
      </c>
      <c r="H89" s="754">
        <f t="shared" si="11"/>
        <v>0</v>
      </c>
      <c r="I89" s="755">
        <f>D89*'Emission Factors'!$G$69*0.001</f>
        <v>0</v>
      </c>
      <c r="L89" s="801">
        <f t="shared" si="12"/>
        <v>0</v>
      </c>
      <c r="M89" s="764">
        <f t="shared" si="14"/>
        <v>0</v>
      </c>
      <c r="N89" s="802">
        <f t="shared" si="13"/>
        <v>0</v>
      </c>
    </row>
    <row r="90" spans="1:22" ht="16.5" thickBot="1">
      <c r="A90" s="774"/>
      <c r="B90" s="751"/>
      <c r="C90" s="753">
        <f>(B90/'Emission Factors'!$B$88)/1000</f>
        <v>0</v>
      </c>
      <c r="D90" s="753">
        <f>'Emission Factors'!$B$69*C90</f>
        <v>0</v>
      </c>
      <c r="E90" s="753">
        <f>'Emission Factors'!$C$69*D90*0.001</f>
        <v>0</v>
      </c>
      <c r="F90" s="753">
        <f>'Emission Factors'!$D$69*D90*0.001</f>
        <v>0</v>
      </c>
      <c r="G90" s="753">
        <f>'Emission Factors'!$E$69*D90*0.001</f>
        <v>0</v>
      </c>
      <c r="H90" s="771">
        <f t="shared" si="11"/>
        <v>0</v>
      </c>
      <c r="I90" s="755">
        <f>D90*'Emission Factors'!$G$69*0.001</f>
        <v>0</v>
      </c>
      <c r="L90" s="803">
        <f t="shared" si="12"/>
        <v>0</v>
      </c>
      <c r="M90" s="804">
        <f t="shared" si="14"/>
        <v>0</v>
      </c>
      <c r="N90" s="805">
        <f t="shared" si="13"/>
        <v>0</v>
      </c>
    </row>
    <row r="91" spans="1:22" ht="16.5" thickBot="1">
      <c r="A91" s="769"/>
      <c r="G91" s="760" t="s">
        <v>434</v>
      </c>
      <c r="H91" s="761">
        <f>SUM(H81:H90)</f>
        <v>0</v>
      </c>
      <c r="I91" s="762">
        <f>SUM(I81:I90)</f>
        <v>0</v>
      </c>
    </row>
    <row r="92" spans="1:22" ht="36">
      <c r="V92" s="740"/>
    </row>
    <row r="93" spans="1:22" s="740" customFormat="1" ht="36">
      <c r="A93" s="1993" t="s">
        <v>454</v>
      </c>
      <c r="B93" s="1994"/>
      <c r="C93" s="1994"/>
      <c r="D93" s="1994"/>
      <c r="E93" s="1994"/>
      <c r="F93" s="1994"/>
      <c r="G93" s="1994"/>
      <c r="H93" s="1994"/>
      <c r="I93" s="1994"/>
      <c r="J93" s="1994"/>
      <c r="K93" s="1994"/>
      <c r="L93" s="1994"/>
      <c r="M93" s="1994"/>
      <c r="N93" s="1994"/>
      <c r="O93" s="1994"/>
      <c r="P93" s="1994"/>
      <c r="Q93" s="1994"/>
      <c r="R93" s="694"/>
      <c r="S93" s="694"/>
      <c r="T93" s="694"/>
      <c r="U93" s="694"/>
      <c r="V93" s="742"/>
    </row>
    <row r="94" spans="1:22" s="743" customFormat="1" ht="36.6" customHeight="1" thickBot="1">
      <c r="A94" s="2004" t="s">
        <v>455</v>
      </c>
      <c r="B94" s="2005"/>
      <c r="C94" s="2006"/>
      <c r="D94" s="1991" t="s">
        <v>427</v>
      </c>
      <c r="E94" s="1992"/>
      <c r="F94" s="759"/>
      <c r="G94" s="742"/>
      <c r="H94" s="742"/>
      <c r="I94" s="742"/>
      <c r="J94" s="742"/>
      <c r="K94" s="742"/>
      <c r="L94" s="742"/>
      <c r="M94" s="742"/>
      <c r="N94" s="742"/>
      <c r="O94" s="767"/>
      <c r="Q94" s="767"/>
      <c r="R94" s="694"/>
      <c r="S94" s="740"/>
      <c r="T94" s="740"/>
      <c r="U94" s="740"/>
      <c r="V94" s="694"/>
    </row>
    <row r="95" spans="1:22" ht="36" customHeight="1">
      <c r="E95" s="744"/>
      <c r="F95" s="744"/>
      <c r="G95" s="744"/>
      <c r="H95" s="745" t="s">
        <v>62</v>
      </c>
      <c r="I95" s="746" t="s">
        <v>92</v>
      </c>
      <c r="K95" s="740"/>
      <c r="L95" s="1995" t="s">
        <v>445</v>
      </c>
      <c r="M95" s="1996"/>
      <c r="N95" s="1997"/>
    </row>
    <row r="96" spans="1:22" ht="31.5">
      <c r="A96" s="773" t="s">
        <v>428</v>
      </c>
      <c r="B96" s="748" t="s">
        <v>446</v>
      </c>
      <c r="C96" s="748" t="s">
        <v>447</v>
      </c>
      <c r="D96" s="748" t="s">
        <v>448</v>
      </c>
      <c r="E96" s="748" t="s">
        <v>420</v>
      </c>
      <c r="F96" s="748" t="s">
        <v>431</v>
      </c>
      <c r="G96" s="748" t="s">
        <v>432</v>
      </c>
      <c r="H96" s="749" t="s">
        <v>420</v>
      </c>
      <c r="I96" s="750" t="s">
        <v>420</v>
      </c>
      <c r="K96" s="743"/>
      <c r="L96" s="799" t="s">
        <v>449</v>
      </c>
      <c r="M96" s="705" t="s">
        <v>450</v>
      </c>
      <c r="N96" s="800" t="s">
        <v>451</v>
      </c>
    </row>
    <row r="97" spans="1:22">
      <c r="A97" s="774"/>
      <c r="B97" s="752"/>
      <c r="C97" s="753">
        <f>B97/1000</f>
        <v>0</v>
      </c>
      <c r="D97" s="753">
        <f>'Emission Factors'!$B$65*$C97</f>
        <v>0</v>
      </c>
      <c r="E97" s="753">
        <f>'Emission Factors'!$C$65*$D97*0.001</f>
        <v>0</v>
      </c>
      <c r="F97" s="753">
        <f>'Emission Factors'!$D$65*$D97*0.001</f>
        <v>0</v>
      </c>
      <c r="G97" s="753">
        <f>'Emission Factors'!$E$65*$D97*0.001</f>
        <v>0</v>
      </c>
      <c r="H97" s="754">
        <f t="shared" ref="H97:H106" si="15">E97+F97+G97</f>
        <v>0</v>
      </c>
      <c r="I97" s="755">
        <f>D97*'Emission Factors'!$G$65*0.001</f>
        <v>0</v>
      </c>
      <c r="L97" s="801">
        <f t="shared" ref="L97:L106" si="16">B97*0.264</f>
        <v>0</v>
      </c>
      <c r="M97" s="764">
        <f>SUM(L97*35.97)</f>
        <v>0</v>
      </c>
      <c r="N97" s="802">
        <f>SUM(M97*0.002516)</f>
        <v>0</v>
      </c>
    </row>
    <row r="98" spans="1:22">
      <c r="A98" s="774"/>
      <c r="B98" s="752"/>
      <c r="C98" s="753">
        <f t="shared" ref="C98:C106" si="17">B98/1000</f>
        <v>0</v>
      </c>
      <c r="D98" s="753">
        <f>'Emission Factors'!$B$65*C98</f>
        <v>0</v>
      </c>
      <c r="E98" s="753">
        <f>'Emission Factors'!$C$65*$D98*0.001</f>
        <v>0</v>
      </c>
      <c r="F98" s="753">
        <f>'Emission Factors'!$D$65*$D98*0.001</f>
        <v>0</v>
      </c>
      <c r="G98" s="753">
        <f>'Emission Factors'!$E$65*$D98*0.001</f>
        <v>0</v>
      </c>
      <c r="H98" s="754">
        <f t="shared" si="15"/>
        <v>0</v>
      </c>
      <c r="I98" s="755">
        <f>D98*'Emission Factors'!$G$65*0.001</f>
        <v>0</v>
      </c>
      <c r="L98" s="801">
        <f t="shared" si="16"/>
        <v>0</v>
      </c>
      <c r="M98" s="764">
        <f t="shared" ref="M98:M106" si="18">SUM(L98*35.97)</f>
        <v>0</v>
      </c>
      <c r="N98" s="802">
        <f t="shared" ref="N98:N106" si="19">SUM(M98*0.002516)</f>
        <v>0</v>
      </c>
    </row>
    <row r="99" spans="1:22">
      <c r="A99" s="774"/>
      <c r="B99" s="752"/>
      <c r="C99" s="753">
        <f t="shared" si="17"/>
        <v>0</v>
      </c>
      <c r="D99" s="753">
        <f>'Emission Factors'!$B$65*C99</f>
        <v>0</v>
      </c>
      <c r="E99" s="753">
        <f>'Emission Factors'!$C$65*$D99*0.001</f>
        <v>0</v>
      </c>
      <c r="F99" s="753">
        <f>'Emission Factors'!$D$65*$D99*0.001</f>
        <v>0</v>
      </c>
      <c r="G99" s="753">
        <f>'Emission Factors'!$E$65*$D99*0.001</f>
        <v>0</v>
      </c>
      <c r="H99" s="754">
        <f t="shared" si="15"/>
        <v>0</v>
      </c>
      <c r="I99" s="755">
        <f>D99*'Emission Factors'!$G$65*0.001</f>
        <v>0</v>
      </c>
      <c r="L99" s="801">
        <f t="shared" si="16"/>
        <v>0</v>
      </c>
      <c r="M99" s="764">
        <f t="shared" si="18"/>
        <v>0</v>
      </c>
      <c r="N99" s="802">
        <f t="shared" si="19"/>
        <v>0</v>
      </c>
    </row>
    <row r="100" spans="1:22">
      <c r="A100" s="774"/>
      <c r="B100" s="752"/>
      <c r="C100" s="753">
        <f t="shared" si="17"/>
        <v>0</v>
      </c>
      <c r="D100" s="753">
        <f>'Emission Factors'!$B$65*C100</f>
        <v>0</v>
      </c>
      <c r="E100" s="753">
        <f>'Emission Factors'!$C$65*$D100*0.001</f>
        <v>0</v>
      </c>
      <c r="F100" s="753">
        <f>'Emission Factors'!$D$65*$D100*0.001</f>
        <v>0</v>
      </c>
      <c r="G100" s="753">
        <f>'Emission Factors'!$E$65*$D100*0.001</f>
        <v>0</v>
      </c>
      <c r="H100" s="754">
        <f t="shared" si="15"/>
        <v>0</v>
      </c>
      <c r="I100" s="755">
        <f>D100*'Emission Factors'!$G$65*0.001</f>
        <v>0</v>
      </c>
      <c r="L100" s="801">
        <f t="shared" si="16"/>
        <v>0</v>
      </c>
      <c r="M100" s="764">
        <f t="shared" si="18"/>
        <v>0</v>
      </c>
      <c r="N100" s="802">
        <f t="shared" si="19"/>
        <v>0</v>
      </c>
    </row>
    <row r="101" spans="1:22">
      <c r="A101" s="774"/>
      <c r="B101" s="752"/>
      <c r="C101" s="753">
        <f t="shared" si="17"/>
        <v>0</v>
      </c>
      <c r="D101" s="753">
        <f>'Emission Factors'!$B$65*C101</f>
        <v>0</v>
      </c>
      <c r="E101" s="753">
        <f>'Emission Factors'!$C$65*$D101*0.001</f>
        <v>0</v>
      </c>
      <c r="F101" s="753">
        <f>'Emission Factors'!$D$65*$D101*0.001</f>
        <v>0</v>
      </c>
      <c r="G101" s="753">
        <f>'Emission Factors'!$E$65*$D101*0.001</f>
        <v>0</v>
      </c>
      <c r="H101" s="754">
        <f t="shared" si="15"/>
        <v>0</v>
      </c>
      <c r="I101" s="755">
        <f>D101*'Emission Factors'!$G$65*0.001</f>
        <v>0</v>
      </c>
      <c r="L101" s="801">
        <f t="shared" si="16"/>
        <v>0</v>
      </c>
      <c r="M101" s="764">
        <f t="shared" si="18"/>
        <v>0</v>
      </c>
      <c r="N101" s="802">
        <f t="shared" si="19"/>
        <v>0</v>
      </c>
    </row>
    <row r="102" spans="1:22">
      <c r="A102" s="774"/>
      <c r="B102" s="752"/>
      <c r="C102" s="753">
        <f t="shared" si="17"/>
        <v>0</v>
      </c>
      <c r="D102" s="753">
        <f>'Emission Factors'!$B$65*C102</f>
        <v>0</v>
      </c>
      <c r="E102" s="753">
        <f>'Emission Factors'!$C$65*$D102*0.001</f>
        <v>0</v>
      </c>
      <c r="F102" s="753">
        <f>'Emission Factors'!$D$65*$D102*0.001</f>
        <v>0</v>
      </c>
      <c r="G102" s="753">
        <f>'Emission Factors'!$E$65*$D102*0.001</f>
        <v>0</v>
      </c>
      <c r="H102" s="754">
        <f t="shared" si="15"/>
        <v>0</v>
      </c>
      <c r="I102" s="755">
        <f>D102*'Emission Factors'!$G$65*0.001</f>
        <v>0</v>
      </c>
      <c r="L102" s="801">
        <f t="shared" si="16"/>
        <v>0</v>
      </c>
      <c r="M102" s="764">
        <f t="shared" si="18"/>
        <v>0</v>
      </c>
      <c r="N102" s="802">
        <f t="shared" si="19"/>
        <v>0</v>
      </c>
    </row>
    <row r="103" spans="1:22">
      <c r="A103" s="774"/>
      <c r="B103" s="752"/>
      <c r="C103" s="753">
        <f t="shared" si="17"/>
        <v>0</v>
      </c>
      <c r="D103" s="753">
        <f>'Emission Factors'!$B$65*C103</f>
        <v>0</v>
      </c>
      <c r="E103" s="753">
        <f>'Emission Factors'!$C$65*$D103*0.001</f>
        <v>0</v>
      </c>
      <c r="F103" s="753">
        <f>'Emission Factors'!$D$65*$D103*0.001</f>
        <v>0</v>
      </c>
      <c r="G103" s="753">
        <f>'Emission Factors'!$E$65*$D103*0.001</f>
        <v>0</v>
      </c>
      <c r="H103" s="754">
        <f t="shared" si="15"/>
        <v>0</v>
      </c>
      <c r="I103" s="755">
        <f>D103*'Emission Factors'!$G$65*0.001</f>
        <v>0</v>
      </c>
      <c r="L103" s="801">
        <f t="shared" si="16"/>
        <v>0</v>
      </c>
      <c r="M103" s="764">
        <f t="shared" si="18"/>
        <v>0</v>
      </c>
      <c r="N103" s="802">
        <f t="shared" si="19"/>
        <v>0</v>
      </c>
    </row>
    <row r="104" spans="1:22">
      <c r="A104" s="774"/>
      <c r="B104" s="752"/>
      <c r="C104" s="753">
        <f t="shared" si="17"/>
        <v>0</v>
      </c>
      <c r="D104" s="753">
        <f>'Emission Factors'!$B$65*C104</f>
        <v>0</v>
      </c>
      <c r="E104" s="753">
        <f>'Emission Factors'!$C$65*$D104*0.001</f>
        <v>0</v>
      </c>
      <c r="F104" s="753">
        <f>'Emission Factors'!$D$65*$D104*0.001</f>
        <v>0</v>
      </c>
      <c r="G104" s="753">
        <f>'Emission Factors'!$E$65*$D104*0.001</f>
        <v>0</v>
      </c>
      <c r="H104" s="754">
        <f t="shared" si="15"/>
        <v>0</v>
      </c>
      <c r="I104" s="755">
        <f>D104*'Emission Factors'!$G$65*0.001</f>
        <v>0</v>
      </c>
      <c r="L104" s="801">
        <f t="shared" si="16"/>
        <v>0</v>
      </c>
      <c r="M104" s="764">
        <f t="shared" si="18"/>
        <v>0</v>
      </c>
      <c r="N104" s="802">
        <f t="shared" si="19"/>
        <v>0</v>
      </c>
    </row>
    <row r="105" spans="1:22">
      <c r="A105" s="774"/>
      <c r="B105" s="752"/>
      <c r="C105" s="753">
        <f t="shared" si="17"/>
        <v>0</v>
      </c>
      <c r="D105" s="753">
        <f>'Emission Factors'!$B$65*C105</f>
        <v>0</v>
      </c>
      <c r="E105" s="753">
        <f>'Emission Factors'!$C$65*$D105*0.001</f>
        <v>0</v>
      </c>
      <c r="F105" s="753">
        <f>'Emission Factors'!$D$65*$D105*0.001</f>
        <v>0</v>
      </c>
      <c r="G105" s="753">
        <f>'Emission Factors'!$E$65*$D105*0.001</f>
        <v>0</v>
      </c>
      <c r="H105" s="754">
        <f t="shared" si="15"/>
        <v>0</v>
      </c>
      <c r="I105" s="755">
        <f>D105*'Emission Factors'!$G$65*0.001</f>
        <v>0</v>
      </c>
      <c r="L105" s="801">
        <f t="shared" si="16"/>
        <v>0</v>
      </c>
      <c r="M105" s="764">
        <f t="shared" si="18"/>
        <v>0</v>
      </c>
      <c r="N105" s="802">
        <f t="shared" si="19"/>
        <v>0</v>
      </c>
    </row>
    <row r="106" spans="1:22" ht="24" thickBot="1">
      <c r="A106" s="774"/>
      <c r="B106" s="752"/>
      <c r="C106" s="753">
        <f t="shared" si="17"/>
        <v>0</v>
      </c>
      <c r="D106" s="753">
        <f>'Emission Factors'!$B$65*C106</f>
        <v>0</v>
      </c>
      <c r="E106" s="753">
        <f>'Emission Factors'!$C$65*$D106*0.001</f>
        <v>0</v>
      </c>
      <c r="F106" s="753">
        <f>'Emission Factors'!$D$65*$D106*0.001</f>
        <v>0</v>
      </c>
      <c r="G106" s="753">
        <f>'Emission Factors'!$E$65*$D106*0.001</f>
        <v>0</v>
      </c>
      <c r="H106" s="771">
        <f t="shared" si="15"/>
        <v>0</v>
      </c>
      <c r="I106" s="755">
        <f>D106*'Emission Factors'!$G$65*0.001</f>
        <v>0</v>
      </c>
      <c r="L106" s="803">
        <f t="shared" si="16"/>
        <v>0</v>
      </c>
      <c r="M106" s="804">
        <f t="shared" si="18"/>
        <v>0</v>
      </c>
      <c r="N106" s="805">
        <f t="shared" si="19"/>
        <v>0</v>
      </c>
      <c r="O106" s="743"/>
    </row>
    <row r="107" spans="1:22" s="743" customFormat="1" ht="24" thickBot="1">
      <c r="A107" s="758" t="s">
        <v>435</v>
      </c>
      <c r="G107" s="760" t="s">
        <v>434</v>
      </c>
      <c r="H107" s="761">
        <f>SUM(H97:H106)</f>
        <v>0</v>
      </c>
      <c r="I107" s="762">
        <f>SUM(I97:I106)</f>
        <v>0</v>
      </c>
      <c r="R107" s="694"/>
    </row>
    <row r="108" spans="1:22" s="743" customFormat="1" ht="24" customHeight="1" thickBot="1">
      <c r="A108" s="2004" t="s">
        <v>455</v>
      </c>
      <c r="B108" s="2005"/>
      <c r="C108" s="2006"/>
      <c r="D108" s="1991" t="s">
        <v>427</v>
      </c>
      <c r="E108" s="1992"/>
      <c r="F108" s="759"/>
      <c r="G108" s="742"/>
      <c r="H108" s="742"/>
      <c r="R108" s="694"/>
      <c r="V108" s="694"/>
    </row>
    <row r="109" spans="1:22" ht="23.45" customHeight="1">
      <c r="E109" s="744"/>
      <c r="F109" s="744"/>
      <c r="G109" s="744"/>
      <c r="H109" s="745" t="s">
        <v>62</v>
      </c>
      <c r="I109" s="746" t="s">
        <v>92</v>
      </c>
      <c r="J109" s="743"/>
      <c r="L109" s="1995" t="s">
        <v>445</v>
      </c>
      <c r="M109" s="1996"/>
      <c r="N109" s="1997"/>
    </row>
    <row r="110" spans="1:22" ht="72" customHeight="1">
      <c r="A110" s="773" t="s">
        <v>428</v>
      </c>
      <c r="B110" s="747" t="s">
        <v>442</v>
      </c>
      <c r="C110" s="748" t="s">
        <v>447</v>
      </c>
      <c r="D110" s="748" t="s">
        <v>448</v>
      </c>
      <c r="E110" s="748" t="s">
        <v>420</v>
      </c>
      <c r="F110" s="748" t="s">
        <v>431</v>
      </c>
      <c r="G110" s="748" t="s">
        <v>432</v>
      </c>
      <c r="H110" s="749" t="s">
        <v>420</v>
      </c>
      <c r="I110" s="750" t="s">
        <v>420</v>
      </c>
      <c r="J110" s="743"/>
      <c r="L110" s="799" t="s">
        <v>449</v>
      </c>
      <c r="M110" s="705" t="s">
        <v>450</v>
      </c>
      <c r="N110" s="800" t="s">
        <v>451</v>
      </c>
    </row>
    <row r="111" spans="1:22">
      <c r="A111" s="774"/>
      <c r="B111" s="751"/>
      <c r="C111" s="753">
        <f>(B111/'Emission Factors'!$B$87)/1000</f>
        <v>0</v>
      </c>
      <c r="D111" s="753">
        <f>C111*'Emission Factors'!$B$65</f>
        <v>0</v>
      </c>
      <c r="E111" s="753">
        <f>'Emission Factors'!$C$65*$D111*0.001</f>
        <v>0</v>
      </c>
      <c r="F111" s="753">
        <f>'Emission Factors'!$D$65*$D111*0.001</f>
        <v>0</v>
      </c>
      <c r="G111" s="753">
        <f>'Emission Factors'!$E$65*$D111*0.001</f>
        <v>0</v>
      </c>
      <c r="H111" s="754">
        <f t="shared" ref="H111:H120" si="20">E111+F111+G111</f>
        <v>0</v>
      </c>
      <c r="I111" s="755">
        <f>D111*'Emission Factors'!$G$65*0.001</f>
        <v>0</v>
      </c>
      <c r="L111" s="801">
        <f t="shared" ref="L111:L120" si="21">B111*0.264</f>
        <v>0</v>
      </c>
      <c r="M111" s="764">
        <f>SUM(L111*35.97)</f>
        <v>0</v>
      </c>
      <c r="N111" s="802">
        <f>SUM(M111*0.002516)</f>
        <v>0</v>
      </c>
    </row>
    <row r="112" spans="1:22">
      <c r="A112" s="774"/>
      <c r="B112" s="751"/>
      <c r="C112" s="753">
        <f>(B112/'Emission Factors'!$B$87)/1000</f>
        <v>0</v>
      </c>
      <c r="D112" s="753">
        <f>C112*'Emission Factors'!$B$65</f>
        <v>0</v>
      </c>
      <c r="E112" s="753">
        <f>'Emission Factors'!$C$65*$D112*0.001</f>
        <v>0</v>
      </c>
      <c r="F112" s="753">
        <f>'Emission Factors'!$D$65*$D112*0.001</f>
        <v>0</v>
      </c>
      <c r="G112" s="753">
        <f>'Emission Factors'!$E$65*$D112*0.001</f>
        <v>0</v>
      </c>
      <c r="H112" s="754">
        <f t="shared" si="20"/>
        <v>0</v>
      </c>
      <c r="I112" s="755">
        <f>D112*'Emission Factors'!$G$65*0.001</f>
        <v>0</v>
      </c>
      <c r="L112" s="801">
        <f t="shared" si="21"/>
        <v>0</v>
      </c>
      <c r="M112" s="764">
        <f t="shared" ref="M112:M120" si="22">SUM(L112*35.97)</f>
        <v>0</v>
      </c>
      <c r="N112" s="802">
        <f t="shared" ref="N112:N120" si="23">SUM(M112*0.002516)</f>
        <v>0</v>
      </c>
    </row>
    <row r="113" spans="1:22">
      <c r="A113" s="774"/>
      <c r="B113" s="751"/>
      <c r="C113" s="753">
        <f>(B113/'Emission Factors'!$B$87)/1000</f>
        <v>0</v>
      </c>
      <c r="D113" s="753">
        <f>C113*'Emission Factors'!$B$65</f>
        <v>0</v>
      </c>
      <c r="E113" s="753">
        <f>'Emission Factors'!$C$65*$D113*0.001</f>
        <v>0</v>
      </c>
      <c r="F113" s="753">
        <f>'Emission Factors'!$D$65*$D113*0.001</f>
        <v>0</v>
      </c>
      <c r="G113" s="753">
        <f>'Emission Factors'!$E$65*$D113*0.001</f>
        <v>0</v>
      </c>
      <c r="H113" s="754">
        <f t="shared" si="20"/>
        <v>0</v>
      </c>
      <c r="I113" s="755">
        <f>D113*'Emission Factors'!$G$65*0.001</f>
        <v>0</v>
      </c>
      <c r="L113" s="801">
        <f t="shared" si="21"/>
        <v>0</v>
      </c>
      <c r="M113" s="764">
        <f t="shared" si="22"/>
        <v>0</v>
      </c>
      <c r="N113" s="802">
        <f t="shared" si="23"/>
        <v>0</v>
      </c>
    </row>
    <row r="114" spans="1:22">
      <c r="A114" s="774"/>
      <c r="B114" s="751"/>
      <c r="C114" s="753">
        <f>(B114/'Emission Factors'!$B$87)/1000</f>
        <v>0</v>
      </c>
      <c r="D114" s="753">
        <f>C114*'Emission Factors'!$B$65</f>
        <v>0</v>
      </c>
      <c r="E114" s="753">
        <f>'Emission Factors'!$C$65*$D114*0.001</f>
        <v>0</v>
      </c>
      <c r="F114" s="753">
        <f>'Emission Factors'!$D$65*$D114*0.001</f>
        <v>0</v>
      </c>
      <c r="G114" s="753">
        <f>'Emission Factors'!$E$65*$D114*0.001</f>
        <v>0</v>
      </c>
      <c r="H114" s="754">
        <f t="shared" si="20"/>
        <v>0</v>
      </c>
      <c r="I114" s="755">
        <f>D114*'Emission Factors'!$G$65*0.001</f>
        <v>0</v>
      </c>
      <c r="L114" s="801">
        <f t="shared" si="21"/>
        <v>0</v>
      </c>
      <c r="M114" s="764">
        <f t="shared" si="22"/>
        <v>0</v>
      </c>
      <c r="N114" s="802">
        <f t="shared" si="23"/>
        <v>0</v>
      </c>
    </row>
    <row r="115" spans="1:22">
      <c r="A115" s="774"/>
      <c r="B115" s="751"/>
      <c r="C115" s="753">
        <f>(B115/'Emission Factors'!$B$87)/1000</f>
        <v>0</v>
      </c>
      <c r="D115" s="753">
        <f>C115*'Emission Factors'!$B$65</f>
        <v>0</v>
      </c>
      <c r="E115" s="753">
        <f>'Emission Factors'!$C$65*$D115*0.001</f>
        <v>0</v>
      </c>
      <c r="F115" s="753">
        <f>'Emission Factors'!$D$65*$D115*0.001</f>
        <v>0</v>
      </c>
      <c r="G115" s="753">
        <f>'Emission Factors'!$E$65*$D115*0.001</f>
        <v>0</v>
      </c>
      <c r="H115" s="754">
        <f t="shared" si="20"/>
        <v>0</v>
      </c>
      <c r="I115" s="755">
        <f>D115*'Emission Factors'!$G$65*0.001</f>
        <v>0</v>
      </c>
      <c r="L115" s="801">
        <f t="shared" si="21"/>
        <v>0</v>
      </c>
      <c r="M115" s="764">
        <f t="shared" si="22"/>
        <v>0</v>
      </c>
      <c r="N115" s="802">
        <f t="shared" si="23"/>
        <v>0</v>
      </c>
    </row>
    <row r="116" spans="1:22">
      <c r="A116" s="774"/>
      <c r="B116" s="751"/>
      <c r="C116" s="753">
        <f>(B116/'Emission Factors'!$B$87)/1000</f>
        <v>0</v>
      </c>
      <c r="D116" s="753">
        <f>C116*'Emission Factors'!$B$65</f>
        <v>0</v>
      </c>
      <c r="E116" s="753">
        <f>'Emission Factors'!$C$65*$D116*0.001</f>
        <v>0</v>
      </c>
      <c r="F116" s="753">
        <f>'Emission Factors'!$D$65*$D116*0.001</f>
        <v>0</v>
      </c>
      <c r="G116" s="753">
        <f>'Emission Factors'!$E$65*$D116*0.001</f>
        <v>0</v>
      </c>
      <c r="H116" s="754">
        <f t="shared" si="20"/>
        <v>0</v>
      </c>
      <c r="I116" s="755">
        <f>D116*'Emission Factors'!$G$65*0.001</f>
        <v>0</v>
      </c>
      <c r="L116" s="801">
        <f t="shared" si="21"/>
        <v>0</v>
      </c>
      <c r="M116" s="764">
        <f t="shared" si="22"/>
        <v>0</v>
      </c>
      <c r="N116" s="802">
        <f t="shared" si="23"/>
        <v>0</v>
      </c>
    </row>
    <row r="117" spans="1:22">
      <c r="A117" s="774"/>
      <c r="B117" s="751"/>
      <c r="C117" s="753">
        <f>(B117/'Emission Factors'!$B$87)/1000</f>
        <v>0</v>
      </c>
      <c r="D117" s="753">
        <f>C117*'Emission Factors'!$B$65</f>
        <v>0</v>
      </c>
      <c r="E117" s="753">
        <f>'Emission Factors'!$C$65*$D117*0.001</f>
        <v>0</v>
      </c>
      <c r="F117" s="753">
        <f>'Emission Factors'!$D$65*$D117*0.001</f>
        <v>0</v>
      </c>
      <c r="G117" s="753">
        <f>'Emission Factors'!$E$65*$D117*0.001</f>
        <v>0</v>
      </c>
      <c r="H117" s="754">
        <f t="shared" si="20"/>
        <v>0</v>
      </c>
      <c r="I117" s="755">
        <f>D117*'Emission Factors'!$G$65*0.001</f>
        <v>0</v>
      </c>
      <c r="L117" s="801">
        <f t="shared" si="21"/>
        <v>0</v>
      </c>
      <c r="M117" s="764">
        <f t="shared" si="22"/>
        <v>0</v>
      </c>
      <c r="N117" s="802">
        <f t="shared" si="23"/>
        <v>0</v>
      </c>
    </row>
    <row r="118" spans="1:22">
      <c r="A118" s="774"/>
      <c r="B118" s="751"/>
      <c r="C118" s="753">
        <f>(B118/'Emission Factors'!$B$87)/1000</f>
        <v>0</v>
      </c>
      <c r="D118" s="753">
        <f>C118*'Emission Factors'!$B$65</f>
        <v>0</v>
      </c>
      <c r="E118" s="753">
        <f>'Emission Factors'!$C$65*$D118*0.001</f>
        <v>0</v>
      </c>
      <c r="F118" s="753">
        <f>'Emission Factors'!$D$65*$D118*0.001</f>
        <v>0</v>
      </c>
      <c r="G118" s="753">
        <f>'Emission Factors'!$E$65*$D118*0.001</f>
        <v>0</v>
      </c>
      <c r="H118" s="754">
        <f t="shared" si="20"/>
        <v>0</v>
      </c>
      <c r="I118" s="755">
        <f>D118*'Emission Factors'!$G$65*0.001</f>
        <v>0</v>
      </c>
      <c r="L118" s="801">
        <f t="shared" si="21"/>
        <v>0</v>
      </c>
      <c r="M118" s="764">
        <f t="shared" si="22"/>
        <v>0</v>
      </c>
      <c r="N118" s="802">
        <f t="shared" si="23"/>
        <v>0</v>
      </c>
    </row>
    <row r="119" spans="1:22">
      <c r="A119" s="774"/>
      <c r="B119" s="751"/>
      <c r="C119" s="753">
        <f>(B119/'Emission Factors'!$B$87)/1000</f>
        <v>0</v>
      </c>
      <c r="D119" s="753">
        <f>C119*'Emission Factors'!$B$65</f>
        <v>0</v>
      </c>
      <c r="E119" s="753">
        <f>'Emission Factors'!$C$65*$D119*0.001</f>
        <v>0</v>
      </c>
      <c r="F119" s="753">
        <f>'Emission Factors'!$D$65*$D119*0.001</f>
        <v>0</v>
      </c>
      <c r="G119" s="753">
        <f>'Emission Factors'!$E$65*$D119*0.001</f>
        <v>0</v>
      </c>
      <c r="H119" s="754">
        <f t="shared" si="20"/>
        <v>0</v>
      </c>
      <c r="I119" s="755">
        <f>D119*'Emission Factors'!$G$65*0.001</f>
        <v>0</v>
      </c>
      <c r="L119" s="801">
        <f t="shared" si="21"/>
        <v>0</v>
      </c>
      <c r="M119" s="764">
        <f t="shared" si="22"/>
        <v>0</v>
      </c>
      <c r="N119" s="802">
        <f t="shared" si="23"/>
        <v>0</v>
      </c>
    </row>
    <row r="120" spans="1:22" ht="16.5" thickBot="1">
      <c r="A120" s="774"/>
      <c r="B120" s="751"/>
      <c r="C120" s="753">
        <f>(B120/'Emission Factors'!$B$87)/1000</f>
        <v>0</v>
      </c>
      <c r="D120" s="753">
        <f>C120*'Emission Factors'!$B$65</f>
        <v>0</v>
      </c>
      <c r="E120" s="753">
        <f>'Emission Factors'!$C$65*$D120*0.001</f>
        <v>0</v>
      </c>
      <c r="F120" s="753">
        <f>'Emission Factors'!$D$65*$D120*0.001</f>
        <v>0</v>
      </c>
      <c r="G120" s="753">
        <f>'Emission Factors'!$E$65*$D120*0.001</f>
        <v>0</v>
      </c>
      <c r="H120" s="771">
        <f t="shared" si="20"/>
        <v>0</v>
      </c>
      <c r="I120" s="755">
        <f>D120*'Emission Factors'!$G$65*0.001</f>
        <v>0</v>
      </c>
      <c r="L120" s="803">
        <f t="shared" si="21"/>
        <v>0</v>
      </c>
      <c r="M120" s="804">
        <f t="shared" si="22"/>
        <v>0</v>
      </c>
      <c r="N120" s="805">
        <f t="shared" si="23"/>
        <v>0</v>
      </c>
    </row>
    <row r="121" spans="1:22" ht="16.5" thickBot="1">
      <c r="A121" s="769"/>
      <c r="G121" s="760" t="s">
        <v>434</v>
      </c>
      <c r="H121" s="761">
        <f>SUM(H111:H120)</f>
        <v>0</v>
      </c>
      <c r="I121" s="762">
        <f>SUM(I111:I120)</f>
        <v>0</v>
      </c>
    </row>
    <row r="122" spans="1:22" ht="23.25">
      <c r="V122" s="743"/>
    </row>
    <row r="123" spans="1:22" s="740" customFormat="1" ht="36">
      <c r="A123" s="2009" t="s">
        <v>456</v>
      </c>
      <c r="B123" s="2010"/>
      <c r="C123" s="2010"/>
      <c r="D123" s="2010"/>
      <c r="E123" s="2010"/>
      <c r="F123" s="2010"/>
      <c r="G123" s="2010"/>
      <c r="H123" s="2010"/>
      <c r="I123" s="2010"/>
      <c r="J123" s="2010"/>
      <c r="K123" s="2010"/>
      <c r="L123" s="2010"/>
      <c r="M123" s="2010"/>
      <c r="N123" s="2010"/>
      <c r="O123" s="2010"/>
      <c r="P123" s="2010"/>
      <c r="Q123" s="2011"/>
      <c r="R123" s="806"/>
    </row>
    <row r="124" spans="1:22" s="743" customFormat="1" ht="24" thickBot="1">
      <c r="A124" s="2004" t="s">
        <v>457</v>
      </c>
      <c r="B124" s="2005"/>
      <c r="C124" s="2006"/>
      <c r="D124" s="2012" t="s">
        <v>427</v>
      </c>
      <c r="E124" s="2013"/>
      <c r="F124" s="741"/>
      <c r="G124" s="742"/>
      <c r="H124" s="742"/>
      <c r="I124" s="742"/>
      <c r="J124" s="742"/>
      <c r="K124" s="742"/>
      <c r="L124" s="742"/>
      <c r="M124" s="742"/>
    </row>
    <row r="125" spans="1:22" ht="18.600000000000001" customHeight="1">
      <c r="E125" s="744"/>
      <c r="F125" s="744"/>
      <c r="G125" s="744"/>
      <c r="H125" s="745" t="s">
        <v>62</v>
      </c>
      <c r="I125" s="746" t="s">
        <v>92</v>
      </c>
      <c r="L125" s="1995" t="s">
        <v>445</v>
      </c>
      <c r="M125" s="1996"/>
      <c r="N125" s="1997"/>
    </row>
    <row r="126" spans="1:22" ht="37.5">
      <c r="A126" s="747" t="s">
        <v>428</v>
      </c>
      <c r="B126" s="747" t="s">
        <v>458</v>
      </c>
      <c r="C126" s="779" t="s">
        <v>459</v>
      </c>
      <c r="D126" s="748" t="s">
        <v>448</v>
      </c>
      <c r="E126" s="748" t="s">
        <v>460</v>
      </c>
      <c r="F126" s="748" t="s">
        <v>431</v>
      </c>
      <c r="G126" s="748" t="s">
        <v>432</v>
      </c>
      <c r="H126" s="749" t="s">
        <v>420</v>
      </c>
      <c r="I126" s="750" t="s">
        <v>420</v>
      </c>
      <c r="L126" s="799" t="s">
        <v>449</v>
      </c>
      <c r="M126" s="705" t="s">
        <v>450</v>
      </c>
      <c r="N126" s="800" t="s">
        <v>451</v>
      </c>
    </row>
    <row r="127" spans="1:22">
      <c r="A127" s="774"/>
      <c r="B127" s="752"/>
      <c r="C127" s="784">
        <f>B127/1000</f>
        <v>0</v>
      </c>
      <c r="D127" s="753">
        <f>'Emission Factors'!$B$60*C127</f>
        <v>0</v>
      </c>
      <c r="E127" s="753">
        <f>D127*'Emission Factors'!$C$60*0.001</f>
        <v>0</v>
      </c>
      <c r="F127" s="753">
        <f>D127*'Emission Factors'!$D$60*0.001</f>
        <v>0</v>
      </c>
      <c r="G127" s="753">
        <f>D127*'Emission Factors'!$E$60*0.001</f>
        <v>0</v>
      </c>
      <c r="H127" s="754">
        <f>E127+F127+G127</f>
        <v>0</v>
      </c>
      <c r="I127" s="755">
        <f>D127*'Emission Factors'!$G$60*0.001</f>
        <v>0</v>
      </c>
      <c r="L127" s="801">
        <f t="shared" ref="L127:L136" si="24">B127*0.264</f>
        <v>0</v>
      </c>
      <c r="M127" s="764">
        <f>SUM(L127*35.97)</f>
        <v>0</v>
      </c>
      <c r="N127" s="802">
        <f>SUM(M127*0.002516)</f>
        <v>0</v>
      </c>
      <c r="P127" s="731"/>
    </row>
    <row r="128" spans="1:22">
      <c r="A128" s="751"/>
      <c r="B128" s="768"/>
      <c r="C128" s="784">
        <f t="shared" ref="C128:C136" si="25">B128/1000</f>
        <v>0</v>
      </c>
      <c r="D128" s="753">
        <f>'Emission Factors'!$B$60*C128</f>
        <v>0</v>
      </c>
      <c r="E128" s="753">
        <f>D128*'Emission Factors'!$C$60*0.001</f>
        <v>0</v>
      </c>
      <c r="F128" s="753">
        <f>D128*'Emission Factors'!$D$60*0.001</f>
        <v>0</v>
      </c>
      <c r="G128" s="753">
        <f>D128*'Emission Factors'!$E$60*0.001</f>
        <v>0</v>
      </c>
      <c r="H128" s="754">
        <f t="shared" ref="H128:H136" si="26">E128+F128+G128</f>
        <v>0</v>
      </c>
      <c r="I128" s="755">
        <f>D128*'Emission Factors'!$G$60*0.001</f>
        <v>0</v>
      </c>
      <c r="L128" s="801">
        <f t="shared" si="24"/>
        <v>0</v>
      </c>
      <c r="M128" s="764">
        <f t="shared" ref="M128:M136" si="27">SUM(L128*35.97)</f>
        <v>0</v>
      </c>
      <c r="N128" s="802">
        <f t="shared" ref="N128:N136" si="28">SUM(M128*0.002516)</f>
        <v>0</v>
      </c>
    </row>
    <row r="129" spans="1:15">
      <c r="A129" s="751"/>
      <c r="B129" s="768"/>
      <c r="C129" s="784">
        <f t="shared" si="25"/>
        <v>0</v>
      </c>
      <c r="D129" s="753">
        <f>'Emission Factors'!$B$60*C129</f>
        <v>0</v>
      </c>
      <c r="E129" s="753">
        <f>D129*'Emission Factors'!$C$60*0.001</f>
        <v>0</v>
      </c>
      <c r="F129" s="753">
        <f>D129*'Emission Factors'!$D$60*0.001</f>
        <v>0</v>
      </c>
      <c r="G129" s="753">
        <f>D129*'Emission Factors'!$E$60*0.001</f>
        <v>0</v>
      </c>
      <c r="H129" s="754">
        <f t="shared" si="26"/>
        <v>0</v>
      </c>
      <c r="I129" s="755">
        <f>D129*'Emission Factors'!$G$60*0.001</f>
        <v>0</v>
      </c>
      <c r="L129" s="801">
        <f t="shared" si="24"/>
        <v>0</v>
      </c>
      <c r="M129" s="764">
        <f t="shared" si="27"/>
        <v>0</v>
      </c>
      <c r="N129" s="802">
        <f t="shared" si="28"/>
        <v>0</v>
      </c>
    </row>
    <row r="130" spans="1:15">
      <c r="A130" s="751"/>
      <c r="B130" s="768"/>
      <c r="C130" s="784">
        <f t="shared" si="25"/>
        <v>0</v>
      </c>
      <c r="D130" s="753">
        <f>'Emission Factors'!$B$60*C130</f>
        <v>0</v>
      </c>
      <c r="E130" s="753">
        <f>D130*'Emission Factors'!$C$60*0.001</f>
        <v>0</v>
      </c>
      <c r="F130" s="753">
        <f>D130*'Emission Factors'!$D$60*0.001</f>
        <v>0</v>
      </c>
      <c r="G130" s="753">
        <f>D130*'Emission Factors'!$E$60*0.001</f>
        <v>0</v>
      </c>
      <c r="H130" s="754">
        <f t="shared" si="26"/>
        <v>0</v>
      </c>
      <c r="I130" s="755">
        <f>D130*'Emission Factors'!$G$60*0.001</f>
        <v>0</v>
      </c>
      <c r="L130" s="801">
        <f t="shared" si="24"/>
        <v>0</v>
      </c>
      <c r="M130" s="764">
        <f t="shared" si="27"/>
        <v>0</v>
      </c>
      <c r="N130" s="802">
        <f t="shared" si="28"/>
        <v>0</v>
      </c>
    </row>
    <row r="131" spans="1:15">
      <c r="A131" s="751"/>
      <c r="B131" s="768"/>
      <c r="C131" s="784">
        <f t="shared" si="25"/>
        <v>0</v>
      </c>
      <c r="D131" s="753">
        <f>'Emission Factors'!$B$60*C131</f>
        <v>0</v>
      </c>
      <c r="E131" s="753">
        <f>D131*'Emission Factors'!$C$60*0.001</f>
        <v>0</v>
      </c>
      <c r="F131" s="753">
        <f>D131*'Emission Factors'!$D$60*0.001</f>
        <v>0</v>
      </c>
      <c r="G131" s="753">
        <f>D131*'Emission Factors'!$E$60*0.001</f>
        <v>0</v>
      </c>
      <c r="H131" s="754">
        <f t="shared" si="26"/>
        <v>0</v>
      </c>
      <c r="I131" s="755">
        <f>D131*'Emission Factors'!$G$60*0.001</f>
        <v>0</v>
      </c>
      <c r="L131" s="801">
        <f t="shared" si="24"/>
        <v>0</v>
      </c>
      <c r="M131" s="764">
        <f t="shared" si="27"/>
        <v>0</v>
      </c>
      <c r="N131" s="802">
        <f t="shared" si="28"/>
        <v>0</v>
      </c>
    </row>
    <row r="132" spans="1:15">
      <c r="A132" s="751"/>
      <c r="B132" s="768"/>
      <c r="C132" s="784">
        <f t="shared" si="25"/>
        <v>0</v>
      </c>
      <c r="D132" s="753">
        <f>'Emission Factors'!$B$60*C132</f>
        <v>0</v>
      </c>
      <c r="E132" s="753">
        <f>D132*'Emission Factors'!$C$60*0.001</f>
        <v>0</v>
      </c>
      <c r="F132" s="753">
        <f>D132*'Emission Factors'!$D$60*0.001</f>
        <v>0</v>
      </c>
      <c r="G132" s="753">
        <f>D132*'Emission Factors'!$E$60*0.001</f>
        <v>0</v>
      </c>
      <c r="H132" s="754">
        <f t="shared" si="26"/>
        <v>0</v>
      </c>
      <c r="I132" s="755">
        <f>D132*'Emission Factors'!$G$60*0.001</f>
        <v>0</v>
      </c>
      <c r="L132" s="801">
        <f t="shared" si="24"/>
        <v>0</v>
      </c>
      <c r="M132" s="764">
        <f t="shared" si="27"/>
        <v>0</v>
      </c>
      <c r="N132" s="802">
        <f t="shared" si="28"/>
        <v>0</v>
      </c>
    </row>
    <row r="133" spans="1:15">
      <c r="A133" s="751"/>
      <c r="B133" s="768"/>
      <c r="C133" s="784">
        <f t="shared" si="25"/>
        <v>0</v>
      </c>
      <c r="D133" s="753">
        <f>'Emission Factors'!$B$60*C133</f>
        <v>0</v>
      </c>
      <c r="E133" s="753">
        <f>D133*'Emission Factors'!$C$60*0.001</f>
        <v>0</v>
      </c>
      <c r="F133" s="753">
        <f>D133*'Emission Factors'!$D$60*0.001</f>
        <v>0</v>
      </c>
      <c r="G133" s="753">
        <f>D133*'Emission Factors'!$E$60*0.001</f>
        <v>0</v>
      </c>
      <c r="H133" s="754">
        <f t="shared" si="26"/>
        <v>0</v>
      </c>
      <c r="I133" s="755">
        <f>D133*'Emission Factors'!$G$60*0.001</f>
        <v>0</v>
      </c>
      <c r="L133" s="801">
        <f t="shared" si="24"/>
        <v>0</v>
      </c>
      <c r="M133" s="764">
        <f t="shared" si="27"/>
        <v>0</v>
      </c>
      <c r="N133" s="802">
        <f t="shared" si="28"/>
        <v>0</v>
      </c>
    </row>
    <row r="134" spans="1:15">
      <c r="A134" s="751"/>
      <c r="B134" s="768"/>
      <c r="C134" s="784">
        <f t="shared" si="25"/>
        <v>0</v>
      </c>
      <c r="D134" s="753">
        <f>'Emission Factors'!$B$60*C134</f>
        <v>0</v>
      </c>
      <c r="E134" s="753">
        <f>D134*'Emission Factors'!$C$60*0.001</f>
        <v>0</v>
      </c>
      <c r="F134" s="753">
        <f>D134*'Emission Factors'!$D$60*0.001</f>
        <v>0</v>
      </c>
      <c r="G134" s="753">
        <f>D134*'Emission Factors'!$E$60*0.001</f>
        <v>0</v>
      </c>
      <c r="H134" s="754">
        <f t="shared" si="26"/>
        <v>0</v>
      </c>
      <c r="I134" s="755">
        <f>D134*'Emission Factors'!$G$60*0.001</f>
        <v>0</v>
      </c>
      <c r="L134" s="801">
        <f t="shared" si="24"/>
        <v>0</v>
      </c>
      <c r="M134" s="764">
        <f t="shared" si="27"/>
        <v>0</v>
      </c>
      <c r="N134" s="802">
        <f t="shared" si="28"/>
        <v>0</v>
      </c>
    </row>
    <row r="135" spans="1:15">
      <c r="A135" s="751"/>
      <c r="B135" s="768"/>
      <c r="C135" s="784">
        <f t="shared" si="25"/>
        <v>0</v>
      </c>
      <c r="D135" s="753">
        <f>'Emission Factors'!$B$60*C135</f>
        <v>0</v>
      </c>
      <c r="E135" s="753">
        <f>D135*'Emission Factors'!$C$60*0.001</f>
        <v>0</v>
      </c>
      <c r="F135" s="753">
        <f>D135*'Emission Factors'!$D$60*0.001</f>
        <v>0</v>
      </c>
      <c r="G135" s="753">
        <f>D135*'Emission Factors'!$E$60*0.001</f>
        <v>0</v>
      </c>
      <c r="H135" s="754">
        <f t="shared" si="26"/>
        <v>0</v>
      </c>
      <c r="I135" s="755">
        <f>D135*'Emission Factors'!$G$60*0.001</f>
        <v>0</v>
      </c>
      <c r="L135" s="801">
        <f t="shared" si="24"/>
        <v>0</v>
      </c>
      <c r="M135" s="764">
        <f t="shared" si="27"/>
        <v>0</v>
      </c>
      <c r="N135" s="802">
        <f t="shared" si="28"/>
        <v>0</v>
      </c>
    </row>
    <row r="136" spans="1:15" ht="16.5" thickBot="1">
      <c r="A136" s="751"/>
      <c r="B136" s="768"/>
      <c r="C136" s="784">
        <f t="shared" si="25"/>
        <v>0</v>
      </c>
      <c r="D136" s="753">
        <f>'Emission Factors'!$B$60*C136</f>
        <v>0</v>
      </c>
      <c r="E136" s="753">
        <f>D136*'Emission Factors'!$C$60*0.001</f>
        <v>0</v>
      </c>
      <c r="F136" s="753">
        <f>D136*'Emission Factors'!$D$60*0.001</f>
        <v>0</v>
      </c>
      <c r="G136" s="753">
        <f>D136*'Emission Factors'!$E$60*0.001</f>
        <v>0</v>
      </c>
      <c r="H136" s="756">
        <f t="shared" si="26"/>
        <v>0</v>
      </c>
      <c r="I136" s="755">
        <f>D136*'Emission Factors'!$G$60*0.001</f>
        <v>0</v>
      </c>
      <c r="L136" s="803">
        <f t="shared" si="24"/>
        <v>0</v>
      </c>
      <c r="M136" s="804">
        <f t="shared" si="27"/>
        <v>0</v>
      </c>
      <c r="N136" s="805">
        <f t="shared" si="28"/>
        <v>0</v>
      </c>
    </row>
    <row r="137" spans="1:15" s="743" customFormat="1" ht="24" thickBot="1">
      <c r="B137" s="759"/>
      <c r="C137" s="759"/>
      <c r="D137" s="759"/>
      <c r="E137" s="742"/>
      <c r="F137" s="759"/>
      <c r="G137" s="760" t="s">
        <v>434</v>
      </c>
      <c r="H137" s="761">
        <f>SUM(H127:H136)</f>
        <v>0</v>
      </c>
      <c r="I137" s="762">
        <f>SUM(I127:I136)</f>
        <v>0</v>
      </c>
      <c r="J137" s="742"/>
      <c r="K137" s="742"/>
      <c r="L137" s="742"/>
      <c r="M137" s="742"/>
      <c r="N137" s="742"/>
      <c r="O137" s="759"/>
    </row>
    <row r="138" spans="1:15" ht="23.25">
      <c r="A138" s="758" t="s">
        <v>435</v>
      </c>
    </row>
    <row r="139" spans="1:15" s="740" customFormat="1" ht="36">
      <c r="A139" s="2004" t="s">
        <v>461</v>
      </c>
      <c r="B139" s="2005"/>
      <c r="C139" s="2006"/>
    </row>
    <row r="140" spans="1:15" s="743" customFormat="1" ht="24" customHeight="1" thickBot="1">
      <c r="A140" s="2004" t="s">
        <v>462</v>
      </c>
      <c r="B140" s="2005"/>
      <c r="C140" s="2006"/>
      <c r="D140" s="2007" t="s">
        <v>427</v>
      </c>
      <c r="E140" s="2008"/>
      <c r="F140" s="766"/>
      <c r="H140" s="767"/>
      <c r="I140" s="742"/>
      <c r="J140" s="742"/>
      <c r="K140" s="742"/>
      <c r="L140" s="742"/>
      <c r="M140" s="742"/>
    </row>
    <row r="141" spans="1:15" ht="18.75" customHeight="1">
      <c r="E141" s="744"/>
      <c r="F141" s="744"/>
      <c r="G141" s="744"/>
      <c r="H141" s="745" t="s">
        <v>62</v>
      </c>
      <c r="I141" s="746" t="s">
        <v>92</v>
      </c>
      <c r="L141" s="1995" t="s">
        <v>445</v>
      </c>
      <c r="M141" s="1996"/>
      <c r="N141" s="1997"/>
    </row>
    <row r="142" spans="1:15" ht="56.25">
      <c r="A142" s="747" t="s">
        <v>428</v>
      </c>
      <c r="B142" s="747" t="s">
        <v>463</v>
      </c>
      <c r="C142" s="747" t="s">
        <v>464</v>
      </c>
      <c r="D142" s="748" t="s">
        <v>448</v>
      </c>
      <c r="E142" s="748" t="s">
        <v>460</v>
      </c>
      <c r="F142" s="748" t="s">
        <v>431</v>
      </c>
      <c r="G142" s="748" t="s">
        <v>432</v>
      </c>
      <c r="H142" s="749" t="s">
        <v>420</v>
      </c>
      <c r="I142" s="750" t="s">
        <v>420</v>
      </c>
      <c r="L142" s="799" t="s">
        <v>449</v>
      </c>
      <c r="M142" s="705" t="s">
        <v>450</v>
      </c>
      <c r="N142" s="800" t="s">
        <v>451</v>
      </c>
    </row>
    <row r="143" spans="1:15">
      <c r="A143" s="751"/>
      <c r="B143" s="751"/>
      <c r="C143" s="753">
        <f>(B143/'Emission Factors'!$F$86)/1000</f>
        <v>0</v>
      </c>
      <c r="D143" s="753">
        <f>'Emission Factors'!$B$60*C143</f>
        <v>0</v>
      </c>
      <c r="E143" s="753">
        <f>D143*'Emission Factors'!$C$60*0.001</f>
        <v>0</v>
      </c>
      <c r="F143" s="753">
        <f>D143*'Emission Factors'!$D$60*0.001</f>
        <v>0</v>
      </c>
      <c r="G143" s="753">
        <f>D143*'Emission Factors'!$E$60*0.001</f>
        <v>0</v>
      </c>
      <c r="H143" s="754">
        <f>E143+F143+G143</f>
        <v>0</v>
      </c>
      <c r="I143" s="755">
        <f>D143*'Emission Factors'!$G$60*0.001</f>
        <v>0</v>
      </c>
      <c r="L143" s="801">
        <f t="shared" ref="L143:L152" si="29">C143*0.264</f>
        <v>0</v>
      </c>
      <c r="M143" s="764">
        <f>SUM(L143*35.97)</f>
        <v>0</v>
      </c>
      <c r="N143" s="802">
        <f>SUM(M143*0.002516)</f>
        <v>0</v>
      </c>
    </row>
    <row r="144" spans="1:15">
      <c r="A144" s="751"/>
      <c r="B144" s="751"/>
      <c r="C144" s="753">
        <f>(B144/'Emission Factors'!$F$86)/1000</f>
        <v>0</v>
      </c>
      <c r="D144" s="753">
        <f>'Emission Factors'!$B$60*C144</f>
        <v>0</v>
      </c>
      <c r="E144" s="753">
        <f>D144*'Emission Factors'!$C$60*0.001</f>
        <v>0</v>
      </c>
      <c r="F144" s="753">
        <f>D144*'Emission Factors'!$D$60*0.001</f>
        <v>0</v>
      </c>
      <c r="G144" s="753">
        <f>D144*'Emission Factors'!$E$60*0.001</f>
        <v>0</v>
      </c>
      <c r="H144" s="754">
        <f t="shared" ref="H144:H152" si="30">E144+F144+G144</f>
        <v>0</v>
      </c>
      <c r="I144" s="755">
        <f>D144*'Emission Factors'!$G$60*0.001</f>
        <v>0</v>
      </c>
      <c r="L144" s="801">
        <f t="shared" si="29"/>
        <v>0</v>
      </c>
      <c r="M144" s="764">
        <f t="shared" ref="M144:M152" si="31">SUM(L144*35.97)</f>
        <v>0</v>
      </c>
      <c r="N144" s="802">
        <f t="shared" ref="N144:N152" si="32">SUM(M144*0.002516)</f>
        <v>0</v>
      </c>
    </row>
    <row r="145" spans="1:18">
      <c r="A145" s="751"/>
      <c r="B145" s="751"/>
      <c r="C145" s="753">
        <f>(B145/'Emission Factors'!$F$86)/1000</f>
        <v>0</v>
      </c>
      <c r="D145" s="753">
        <f>'Emission Factors'!$B$60*C145</f>
        <v>0</v>
      </c>
      <c r="E145" s="753">
        <f>D145*'Emission Factors'!$C$60*0.001</f>
        <v>0</v>
      </c>
      <c r="F145" s="753">
        <f>D145*'Emission Factors'!$D$60*0.001</f>
        <v>0</v>
      </c>
      <c r="G145" s="753">
        <f>D145*'Emission Factors'!$E$60*0.001</f>
        <v>0</v>
      </c>
      <c r="H145" s="754">
        <f t="shared" si="30"/>
        <v>0</v>
      </c>
      <c r="I145" s="755">
        <f>D145*'Emission Factors'!$G$60*0.001</f>
        <v>0</v>
      </c>
      <c r="L145" s="801">
        <f t="shared" si="29"/>
        <v>0</v>
      </c>
      <c r="M145" s="764">
        <f t="shared" si="31"/>
        <v>0</v>
      </c>
      <c r="N145" s="802">
        <f t="shared" si="32"/>
        <v>0</v>
      </c>
    </row>
    <row r="146" spans="1:18">
      <c r="A146" s="751"/>
      <c r="B146" s="751"/>
      <c r="C146" s="753">
        <f>(B146/'Emission Factors'!$F$86)/1000</f>
        <v>0</v>
      </c>
      <c r="D146" s="753">
        <f>'Emission Factors'!$B$60*C146</f>
        <v>0</v>
      </c>
      <c r="E146" s="753">
        <f>D146*'Emission Factors'!$C$60*0.001</f>
        <v>0</v>
      </c>
      <c r="F146" s="753">
        <f>D146*'Emission Factors'!$D$60*0.001</f>
        <v>0</v>
      </c>
      <c r="G146" s="753">
        <f>D146*'Emission Factors'!$E$60*0.001</f>
        <v>0</v>
      </c>
      <c r="H146" s="754">
        <f t="shared" si="30"/>
        <v>0</v>
      </c>
      <c r="I146" s="755">
        <f>D146*'Emission Factors'!$G$60*0.001</f>
        <v>0</v>
      </c>
      <c r="L146" s="801">
        <f t="shared" si="29"/>
        <v>0</v>
      </c>
      <c r="M146" s="764">
        <f t="shared" si="31"/>
        <v>0</v>
      </c>
      <c r="N146" s="802">
        <f t="shared" si="32"/>
        <v>0</v>
      </c>
    </row>
    <row r="147" spans="1:18">
      <c r="A147" s="751"/>
      <c r="B147" s="751"/>
      <c r="C147" s="753">
        <f>(B147/'Emission Factors'!$F$86)/1000</f>
        <v>0</v>
      </c>
      <c r="D147" s="753">
        <f>'Emission Factors'!$B$60*C147</f>
        <v>0</v>
      </c>
      <c r="E147" s="753">
        <f>D147*'Emission Factors'!$C$60*0.001</f>
        <v>0</v>
      </c>
      <c r="F147" s="753">
        <f>D147*'Emission Factors'!$D$60*0.001</f>
        <v>0</v>
      </c>
      <c r="G147" s="753">
        <f>D147*'Emission Factors'!$E$60*0.001</f>
        <v>0</v>
      </c>
      <c r="H147" s="754">
        <f t="shared" si="30"/>
        <v>0</v>
      </c>
      <c r="I147" s="755">
        <f>D147*'Emission Factors'!$G$60*0.001</f>
        <v>0</v>
      </c>
      <c r="L147" s="801">
        <f t="shared" si="29"/>
        <v>0</v>
      </c>
      <c r="M147" s="764">
        <f t="shared" si="31"/>
        <v>0</v>
      </c>
      <c r="N147" s="802">
        <f t="shared" si="32"/>
        <v>0</v>
      </c>
    </row>
    <row r="148" spans="1:18">
      <c r="A148" s="751"/>
      <c r="B148" s="751"/>
      <c r="C148" s="753">
        <f>(B148/'Emission Factors'!$F$86)/1000</f>
        <v>0</v>
      </c>
      <c r="D148" s="753">
        <f>'Emission Factors'!$B$60*C148</f>
        <v>0</v>
      </c>
      <c r="E148" s="753">
        <f>D148*'Emission Factors'!$C$60*0.001</f>
        <v>0</v>
      </c>
      <c r="F148" s="753">
        <f>D148*'Emission Factors'!$D$60*0.001</f>
        <v>0</v>
      </c>
      <c r="G148" s="753">
        <f>D148*'Emission Factors'!$E$60*0.001</f>
        <v>0</v>
      </c>
      <c r="H148" s="754">
        <f t="shared" si="30"/>
        <v>0</v>
      </c>
      <c r="I148" s="755">
        <f>D148*'Emission Factors'!$G$60*0.001</f>
        <v>0</v>
      </c>
      <c r="L148" s="801">
        <f t="shared" si="29"/>
        <v>0</v>
      </c>
      <c r="M148" s="764">
        <f t="shared" si="31"/>
        <v>0</v>
      </c>
      <c r="N148" s="802">
        <f t="shared" si="32"/>
        <v>0</v>
      </c>
    </row>
    <row r="149" spans="1:18">
      <c r="A149" s="751"/>
      <c r="B149" s="751"/>
      <c r="C149" s="753">
        <f>(B149/'Emission Factors'!$F$86)/1000</f>
        <v>0</v>
      </c>
      <c r="D149" s="753">
        <f>'Emission Factors'!$B$60*C149</f>
        <v>0</v>
      </c>
      <c r="E149" s="753">
        <f>D149*'Emission Factors'!$C$60*0.001</f>
        <v>0</v>
      </c>
      <c r="F149" s="753">
        <f>D149*'Emission Factors'!$D$60*0.001</f>
        <v>0</v>
      </c>
      <c r="G149" s="753">
        <f>D149*'Emission Factors'!$E$60*0.001</f>
        <v>0</v>
      </c>
      <c r="H149" s="754">
        <f t="shared" si="30"/>
        <v>0</v>
      </c>
      <c r="I149" s="755">
        <f>D149*'Emission Factors'!$G$60*0.001</f>
        <v>0</v>
      </c>
      <c r="L149" s="801">
        <f t="shared" si="29"/>
        <v>0</v>
      </c>
      <c r="M149" s="764">
        <f t="shared" si="31"/>
        <v>0</v>
      </c>
      <c r="N149" s="802">
        <f t="shared" si="32"/>
        <v>0</v>
      </c>
    </row>
    <row r="150" spans="1:18">
      <c r="A150" s="751"/>
      <c r="B150" s="751"/>
      <c r="C150" s="753">
        <f>(B150/'Emission Factors'!$F$86)/1000</f>
        <v>0</v>
      </c>
      <c r="D150" s="753">
        <f>'Emission Factors'!$B$60*C150</f>
        <v>0</v>
      </c>
      <c r="E150" s="753">
        <f>D150*'Emission Factors'!$C$60*0.001</f>
        <v>0</v>
      </c>
      <c r="F150" s="753">
        <f>D150*'Emission Factors'!$D$60*0.001</f>
        <v>0</v>
      </c>
      <c r="G150" s="753">
        <f>D150*'Emission Factors'!$E$60*0.001</f>
        <v>0</v>
      </c>
      <c r="H150" s="754">
        <f t="shared" si="30"/>
        <v>0</v>
      </c>
      <c r="I150" s="755">
        <f>D150*'Emission Factors'!$G$60*0.001</f>
        <v>0</v>
      </c>
      <c r="L150" s="801">
        <f t="shared" si="29"/>
        <v>0</v>
      </c>
      <c r="M150" s="764">
        <f t="shared" si="31"/>
        <v>0</v>
      </c>
      <c r="N150" s="802">
        <f t="shared" si="32"/>
        <v>0</v>
      </c>
    </row>
    <row r="151" spans="1:18">
      <c r="A151" s="751"/>
      <c r="B151" s="751"/>
      <c r="C151" s="753">
        <f>(B151/'Emission Factors'!$F$86)/1000</f>
        <v>0</v>
      </c>
      <c r="D151" s="753">
        <f>'Emission Factors'!$B$60*C151</f>
        <v>0</v>
      </c>
      <c r="E151" s="753">
        <f>D151*'Emission Factors'!$C$60*0.001</f>
        <v>0</v>
      </c>
      <c r="F151" s="753">
        <f>D151*'Emission Factors'!$D$60*0.001</f>
        <v>0</v>
      </c>
      <c r="G151" s="753">
        <f>D151*'Emission Factors'!$E$60*0.001</f>
        <v>0</v>
      </c>
      <c r="H151" s="754">
        <f t="shared" si="30"/>
        <v>0</v>
      </c>
      <c r="I151" s="755">
        <f>D151*'Emission Factors'!$G$60*0.001</f>
        <v>0</v>
      </c>
      <c r="L151" s="801">
        <f t="shared" si="29"/>
        <v>0</v>
      </c>
      <c r="M151" s="764">
        <f t="shared" si="31"/>
        <v>0</v>
      </c>
      <c r="N151" s="802">
        <f t="shared" si="32"/>
        <v>0</v>
      </c>
    </row>
    <row r="152" spans="1:18" ht="16.5" thickBot="1">
      <c r="A152" s="751"/>
      <c r="B152" s="751"/>
      <c r="C152" s="753">
        <f>(B152/'Emission Factors'!$F$86)/1000</f>
        <v>0</v>
      </c>
      <c r="D152" s="753">
        <f>'Emission Factors'!$B$60*C152</f>
        <v>0</v>
      </c>
      <c r="E152" s="753">
        <f>D152*'Emission Factors'!$C$60*0.001</f>
        <v>0</v>
      </c>
      <c r="F152" s="753">
        <f>D152*'Emission Factors'!$D$60*0.001</f>
        <v>0</v>
      </c>
      <c r="G152" s="753">
        <f>D152*'Emission Factors'!$E$60*0.001</f>
        <v>0</v>
      </c>
      <c r="H152" s="756">
        <f t="shared" si="30"/>
        <v>0</v>
      </c>
      <c r="I152" s="755">
        <f>D152*'Emission Factors'!$G$60*0.001</f>
        <v>0</v>
      </c>
      <c r="L152" s="803">
        <f t="shared" si="29"/>
        <v>0</v>
      </c>
      <c r="M152" s="804">
        <f t="shared" si="31"/>
        <v>0</v>
      </c>
      <c r="N152" s="805">
        <f t="shared" si="32"/>
        <v>0</v>
      </c>
    </row>
    <row r="153" spans="1:18" ht="24" thickBot="1">
      <c r="D153" s="759"/>
      <c r="E153" s="742"/>
      <c r="F153" s="759"/>
      <c r="G153" s="760" t="s">
        <v>434</v>
      </c>
      <c r="H153" s="761">
        <f>SUM(H143:H152)</f>
        <v>0</v>
      </c>
      <c r="I153" s="762">
        <f>SUM(I143:I152)</f>
        <v>0</v>
      </c>
    </row>
    <row r="154" spans="1:18" s="743" customFormat="1" ht="23.25"/>
    <row r="155" spans="1:18" s="743" customFormat="1" ht="24" customHeight="1" thickBot="1">
      <c r="A155" s="2004" t="s">
        <v>465</v>
      </c>
      <c r="B155" s="2005"/>
      <c r="C155" s="2006"/>
      <c r="D155" s="2007" t="s">
        <v>427</v>
      </c>
      <c r="E155" s="2008"/>
      <c r="F155" s="741"/>
      <c r="G155" s="742"/>
      <c r="H155" s="742"/>
      <c r="I155" s="742"/>
      <c r="J155" s="742"/>
      <c r="K155" s="742"/>
      <c r="L155" s="742"/>
      <c r="M155" s="742"/>
      <c r="P155" s="766"/>
      <c r="R155" s="767"/>
    </row>
    <row r="156" spans="1:18" ht="18.75" customHeight="1">
      <c r="E156" s="744"/>
      <c r="F156" s="744"/>
      <c r="G156" s="744"/>
      <c r="H156" s="745" t="s">
        <v>62</v>
      </c>
      <c r="I156" s="746" t="s">
        <v>92</v>
      </c>
      <c r="L156" s="1995" t="s">
        <v>445</v>
      </c>
      <c r="M156" s="1996"/>
      <c r="N156" s="1997"/>
    </row>
    <row r="157" spans="1:18" ht="56.25">
      <c r="A157" s="747" t="s">
        <v>428</v>
      </c>
      <c r="B157" s="747" t="s">
        <v>463</v>
      </c>
      <c r="C157" s="747" t="s">
        <v>464</v>
      </c>
      <c r="D157" s="748" t="s">
        <v>448</v>
      </c>
      <c r="E157" s="748" t="s">
        <v>420</v>
      </c>
      <c r="F157" s="748" t="s">
        <v>431</v>
      </c>
      <c r="G157" s="748" t="s">
        <v>432</v>
      </c>
      <c r="H157" s="749" t="s">
        <v>420</v>
      </c>
      <c r="I157" s="750" t="s">
        <v>420</v>
      </c>
      <c r="L157" s="799" t="s">
        <v>449</v>
      </c>
      <c r="M157" s="705" t="s">
        <v>450</v>
      </c>
      <c r="N157" s="800" t="s">
        <v>451</v>
      </c>
    </row>
    <row r="158" spans="1:18">
      <c r="A158" s="751"/>
      <c r="B158" s="751"/>
      <c r="C158" s="753">
        <f>(B158/'Emission Factors'!$F$87)/1000</f>
        <v>0</v>
      </c>
      <c r="D158" s="753">
        <f>'Emission Factors'!$B$60*C158</f>
        <v>0</v>
      </c>
      <c r="E158" s="753">
        <f>D158*'Emission Factors'!$C$60*0.001</f>
        <v>0</v>
      </c>
      <c r="F158" s="753">
        <f>D158*'Emission Factors'!$D$60*0.001</f>
        <v>0</v>
      </c>
      <c r="G158" s="753">
        <f>D158*'Emission Factors'!$E$60*0.001</f>
        <v>0</v>
      </c>
      <c r="H158" s="754">
        <f>E158+F158+G158</f>
        <v>0</v>
      </c>
      <c r="I158" s="755">
        <f>D158*'Emission Factors'!$G$60*0.001</f>
        <v>0</v>
      </c>
      <c r="L158" s="801">
        <f t="shared" ref="L158:L167" si="33">C158*0.264</f>
        <v>0</v>
      </c>
      <c r="M158" s="764">
        <f>SUM(L158*35.97)</f>
        <v>0</v>
      </c>
      <c r="N158" s="802">
        <f>SUM(M158*0.002516)</f>
        <v>0</v>
      </c>
    </row>
    <row r="159" spans="1:18">
      <c r="A159" s="751"/>
      <c r="B159" s="751"/>
      <c r="C159" s="753">
        <f>(B159/'Emission Factors'!$F$87)/1000</f>
        <v>0</v>
      </c>
      <c r="D159" s="753">
        <f>'Emission Factors'!$B$60*C159</f>
        <v>0</v>
      </c>
      <c r="E159" s="753">
        <f>D159*'Emission Factors'!$C$60*0.001</f>
        <v>0</v>
      </c>
      <c r="F159" s="753">
        <f>D159*'Emission Factors'!$D$60*0.001</f>
        <v>0</v>
      </c>
      <c r="G159" s="753">
        <f>D159*'Emission Factors'!$E$60*0.001</f>
        <v>0</v>
      </c>
      <c r="H159" s="754">
        <f t="shared" ref="H159:H167" si="34">E159+F159+G159</f>
        <v>0</v>
      </c>
      <c r="I159" s="755">
        <f>D159*'Emission Factors'!$G$60*0.001</f>
        <v>0</v>
      </c>
      <c r="L159" s="801">
        <f t="shared" si="33"/>
        <v>0</v>
      </c>
      <c r="M159" s="764">
        <f t="shared" ref="M159:M167" si="35">SUM(L159*35.97)</f>
        <v>0</v>
      </c>
      <c r="N159" s="802">
        <f t="shared" ref="N159:N167" si="36">SUM(M159*0.002516)</f>
        <v>0</v>
      </c>
    </row>
    <row r="160" spans="1:18">
      <c r="A160" s="751"/>
      <c r="B160" s="751"/>
      <c r="C160" s="753">
        <f>(B160/'Emission Factors'!$F$87)/1000</f>
        <v>0</v>
      </c>
      <c r="D160" s="753">
        <f>'Emission Factors'!$B$60*C160</f>
        <v>0</v>
      </c>
      <c r="E160" s="753">
        <f>D160*'Emission Factors'!$C$60*0.001</f>
        <v>0</v>
      </c>
      <c r="F160" s="753">
        <f>D160*'Emission Factors'!$D$60*0.001</f>
        <v>0</v>
      </c>
      <c r="G160" s="753">
        <f>D160*'Emission Factors'!$E$60*0.001</f>
        <v>0</v>
      </c>
      <c r="H160" s="754">
        <f>E160+F160+G160</f>
        <v>0</v>
      </c>
      <c r="I160" s="755">
        <f>D160*'Emission Factors'!$G$60*0.001</f>
        <v>0</v>
      </c>
      <c r="L160" s="801">
        <f t="shared" si="33"/>
        <v>0</v>
      </c>
      <c r="M160" s="764">
        <f t="shared" si="35"/>
        <v>0</v>
      </c>
      <c r="N160" s="802">
        <f t="shared" si="36"/>
        <v>0</v>
      </c>
    </row>
    <row r="161" spans="1:14">
      <c r="A161" s="751"/>
      <c r="B161" s="751"/>
      <c r="C161" s="753">
        <f>(B161/'Emission Factors'!$F$87)/1000</f>
        <v>0</v>
      </c>
      <c r="D161" s="753">
        <f>'Emission Factors'!$B$60*C161</f>
        <v>0</v>
      </c>
      <c r="E161" s="753">
        <f>D161*'Emission Factors'!$C$60*0.001</f>
        <v>0</v>
      </c>
      <c r="F161" s="753">
        <f>D161*'Emission Factors'!$D$60*0.001</f>
        <v>0</v>
      </c>
      <c r="G161" s="753">
        <f>D161*'Emission Factors'!$E$60*0.001</f>
        <v>0</v>
      </c>
      <c r="H161" s="754">
        <f t="shared" si="34"/>
        <v>0</v>
      </c>
      <c r="I161" s="755">
        <f>D161*'Emission Factors'!$G$60*0.001</f>
        <v>0</v>
      </c>
      <c r="L161" s="801">
        <f t="shared" si="33"/>
        <v>0</v>
      </c>
      <c r="M161" s="764">
        <f t="shared" si="35"/>
        <v>0</v>
      </c>
      <c r="N161" s="802">
        <f t="shared" si="36"/>
        <v>0</v>
      </c>
    </row>
    <row r="162" spans="1:14">
      <c r="A162" s="751"/>
      <c r="B162" s="751"/>
      <c r="C162" s="753">
        <f>(B162/'Emission Factors'!$F$87)/1000</f>
        <v>0</v>
      </c>
      <c r="D162" s="753">
        <f>'Emission Factors'!$B$60*C162</f>
        <v>0</v>
      </c>
      <c r="E162" s="753">
        <f>D162*'Emission Factors'!$C$60*0.001</f>
        <v>0</v>
      </c>
      <c r="F162" s="753">
        <f>D162*'Emission Factors'!$D$60*0.001</f>
        <v>0</v>
      </c>
      <c r="G162" s="753">
        <f>D162*'Emission Factors'!$E$60*0.001</f>
        <v>0</v>
      </c>
      <c r="H162" s="754">
        <f t="shared" si="34"/>
        <v>0</v>
      </c>
      <c r="I162" s="755">
        <f>D162*'Emission Factors'!$G$60*0.001</f>
        <v>0</v>
      </c>
      <c r="L162" s="801">
        <f t="shared" si="33"/>
        <v>0</v>
      </c>
      <c r="M162" s="764">
        <f t="shared" si="35"/>
        <v>0</v>
      </c>
      <c r="N162" s="802">
        <f t="shared" si="36"/>
        <v>0</v>
      </c>
    </row>
    <row r="163" spans="1:14">
      <c r="A163" s="751"/>
      <c r="B163" s="751"/>
      <c r="C163" s="753">
        <f>(B163/'Emission Factors'!$F$87)/1000</f>
        <v>0</v>
      </c>
      <c r="D163" s="753">
        <f>'Emission Factors'!$B$60*C163</f>
        <v>0</v>
      </c>
      <c r="E163" s="753">
        <f>D163*'Emission Factors'!$C$60*0.001</f>
        <v>0</v>
      </c>
      <c r="F163" s="753">
        <f>D163*'Emission Factors'!$D$60*0.001</f>
        <v>0</v>
      </c>
      <c r="G163" s="753">
        <f>D163*'Emission Factors'!$E$60*0.001</f>
        <v>0</v>
      </c>
      <c r="H163" s="754">
        <f t="shared" si="34"/>
        <v>0</v>
      </c>
      <c r="I163" s="755">
        <f>D163*'Emission Factors'!$G$60*0.001</f>
        <v>0</v>
      </c>
      <c r="L163" s="801">
        <f t="shared" si="33"/>
        <v>0</v>
      </c>
      <c r="M163" s="764">
        <f t="shared" si="35"/>
        <v>0</v>
      </c>
      <c r="N163" s="802">
        <f t="shared" si="36"/>
        <v>0</v>
      </c>
    </row>
    <row r="164" spans="1:14">
      <c r="A164" s="751"/>
      <c r="B164" s="751"/>
      <c r="C164" s="753">
        <f>(B164/'Emission Factors'!$F$87)/1000</f>
        <v>0</v>
      </c>
      <c r="D164" s="753">
        <f>'Emission Factors'!$B$60*C164</f>
        <v>0</v>
      </c>
      <c r="E164" s="753">
        <f>D164*'Emission Factors'!$C$60*0.001</f>
        <v>0</v>
      </c>
      <c r="F164" s="753">
        <f>D164*'Emission Factors'!$D$60*0.001</f>
        <v>0</v>
      </c>
      <c r="G164" s="753">
        <f>D164*'Emission Factors'!$E$60*0.001</f>
        <v>0</v>
      </c>
      <c r="H164" s="754">
        <f t="shared" si="34"/>
        <v>0</v>
      </c>
      <c r="I164" s="755">
        <f>D164*'Emission Factors'!$G$60*0.001</f>
        <v>0</v>
      </c>
      <c r="L164" s="801">
        <f t="shared" si="33"/>
        <v>0</v>
      </c>
      <c r="M164" s="764">
        <f t="shared" si="35"/>
        <v>0</v>
      </c>
      <c r="N164" s="802">
        <f t="shared" si="36"/>
        <v>0</v>
      </c>
    </row>
    <row r="165" spans="1:14">
      <c r="A165" s="751"/>
      <c r="B165" s="751"/>
      <c r="C165" s="753">
        <f>(B165/'Emission Factors'!$F$87)/1000</f>
        <v>0</v>
      </c>
      <c r="D165" s="753">
        <f>'Emission Factors'!$B$60*C165</f>
        <v>0</v>
      </c>
      <c r="E165" s="753">
        <f>D165*'Emission Factors'!$C$60*0.001</f>
        <v>0</v>
      </c>
      <c r="F165" s="753">
        <f>D165*'Emission Factors'!$D$60*0.001</f>
        <v>0</v>
      </c>
      <c r="G165" s="753">
        <f>D165*'Emission Factors'!$E$60*0.001</f>
        <v>0</v>
      </c>
      <c r="H165" s="754">
        <f t="shared" si="34"/>
        <v>0</v>
      </c>
      <c r="I165" s="755">
        <f>D165*'Emission Factors'!$G$60*0.001</f>
        <v>0</v>
      </c>
      <c r="L165" s="801">
        <f t="shared" si="33"/>
        <v>0</v>
      </c>
      <c r="M165" s="764">
        <f t="shared" si="35"/>
        <v>0</v>
      </c>
      <c r="N165" s="802">
        <f t="shared" si="36"/>
        <v>0</v>
      </c>
    </row>
    <row r="166" spans="1:14">
      <c r="A166" s="751"/>
      <c r="B166" s="751"/>
      <c r="C166" s="753">
        <f>(B166/'Emission Factors'!$F$87)/1000</f>
        <v>0</v>
      </c>
      <c r="D166" s="753">
        <f>'Emission Factors'!$B$60*C166</f>
        <v>0</v>
      </c>
      <c r="E166" s="753">
        <f>D166*'Emission Factors'!$C$60*0.001</f>
        <v>0</v>
      </c>
      <c r="F166" s="753">
        <f>D166*'Emission Factors'!$D$60*0.001</f>
        <v>0</v>
      </c>
      <c r="G166" s="753">
        <f>D166*'Emission Factors'!$E$60*0.001</f>
        <v>0</v>
      </c>
      <c r="H166" s="754">
        <f t="shared" si="34"/>
        <v>0</v>
      </c>
      <c r="I166" s="755">
        <f>D166*'Emission Factors'!$G$60*0.001</f>
        <v>0</v>
      </c>
      <c r="L166" s="801">
        <f t="shared" si="33"/>
        <v>0</v>
      </c>
      <c r="M166" s="764">
        <f t="shared" si="35"/>
        <v>0</v>
      </c>
      <c r="N166" s="802">
        <f t="shared" si="36"/>
        <v>0</v>
      </c>
    </row>
    <row r="167" spans="1:14" ht="16.5" thickBot="1">
      <c r="A167" s="751"/>
      <c r="B167" s="751"/>
      <c r="C167" s="753">
        <f>(B167/'Emission Factors'!$F$87)/1000</f>
        <v>0</v>
      </c>
      <c r="D167" s="753">
        <f>'Emission Factors'!$B$60*C167</f>
        <v>0</v>
      </c>
      <c r="E167" s="753">
        <f>D167*'Emission Factors'!$C$60*0.001</f>
        <v>0</v>
      </c>
      <c r="F167" s="753">
        <f>D167*'Emission Factors'!$D$60*0.001</f>
        <v>0</v>
      </c>
      <c r="G167" s="753">
        <f>D167*'Emission Factors'!$E$60*0.001</f>
        <v>0</v>
      </c>
      <c r="H167" s="756">
        <f t="shared" si="34"/>
        <v>0</v>
      </c>
      <c r="I167" s="755">
        <f>D167*'Emission Factors'!$G$60*0.001</f>
        <v>0</v>
      </c>
      <c r="L167" s="803">
        <f t="shared" si="33"/>
        <v>0</v>
      </c>
      <c r="M167" s="804">
        <f t="shared" si="35"/>
        <v>0</v>
      </c>
      <c r="N167" s="805">
        <f t="shared" si="36"/>
        <v>0</v>
      </c>
    </row>
    <row r="168" spans="1:14" ht="24" thickBot="1">
      <c r="A168" s="788"/>
      <c r="D168" s="759"/>
      <c r="E168" s="742"/>
      <c r="F168" s="759"/>
      <c r="G168" s="760" t="s">
        <v>434</v>
      </c>
      <c r="H168" s="761">
        <f>SUM(H158:H167)</f>
        <v>0</v>
      </c>
      <c r="I168" s="762">
        <f>SUM(I158:I167)</f>
        <v>0</v>
      </c>
    </row>
    <row r="169" spans="1:14" ht="23.25">
      <c r="A169" s="758" t="s">
        <v>435</v>
      </c>
    </row>
    <row r="170" spans="1:14" s="743" customFormat="1" ht="24" customHeight="1" thickBot="1">
      <c r="A170" s="2004" t="s">
        <v>466</v>
      </c>
      <c r="B170" s="2005"/>
      <c r="C170" s="2006"/>
      <c r="D170" s="2014" t="s">
        <v>427</v>
      </c>
      <c r="E170" s="2015"/>
      <c r="F170" s="741"/>
      <c r="G170" s="742"/>
      <c r="H170" s="742"/>
      <c r="I170" s="742"/>
      <c r="J170" s="742"/>
      <c r="K170" s="742"/>
      <c r="L170" s="742"/>
      <c r="M170" s="742"/>
    </row>
    <row r="171" spans="1:14" ht="18.75" customHeight="1">
      <c r="E171" s="744"/>
      <c r="F171" s="744"/>
      <c r="G171" s="744"/>
      <c r="H171" s="745" t="s">
        <v>62</v>
      </c>
      <c r="I171" s="746" t="s">
        <v>92</v>
      </c>
      <c r="L171" s="1995" t="s">
        <v>445</v>
      </c>
      <c r="M171" s="1996"/>
      <c r="N171" s="1997"/>
    </row>
    <row r="172" spans="1:14" ht="37.5">
      <c r="A172" s="747" t="s">
        <v>428</v>
      </c>
      <c r="B172" s="747" t="s">
        <v>442</v>
      </c>
      <c r="C172" s="747" t="s">
        <v>464</v>
      </c>
      <c r="D172" s="748" t="s">
        <v>448</v>
      </c>
      <c r="E172" s="748" t="s">
        <v>420</v>
      </c>
      <c r="F172" s="748" t="s">
        <v>431</v>
      </c>
      <c r="G172" s="748" t="s">
        <v>432</v>
      </c>
      <c r="H172" s="749" t="s">
        <v>420</v>
      </c>
      <c r="I172" s="750" t="s">
        <v>420</v>
      </c>
      <c r="L172" s="799" t="s">
        <v>449</v>
      </c>
      <c r="M172" s="705" t="s">
        <v>450</v>
      </c>
      <c r="N172" s="800" t="s">
        <v>451</v>
      </c>
    </row>
    <row r="173" spans="1:14">
      <c r="A173" s="751"/>
      <c r="B173" s="751"/>
      <c r="C173" s="764">
        <f>(B173/'Emission Factors'!$B$86)/1000</f>
        <v>0</v>
      </c>
      <c r="D173" s="753">
        <f>'Emission Factors'!$B$60*C173</f>
        <v>0</v>
      </c>
      <c r="E173" s="753">
        <f>D173*'Emission Factors'!$C$60*0.001</f>
        <v>0</v>
      </c>
      <c r="F173" s="753">
        <f>D173*'Emission Factors'!$D$60*0.001</f>
        <v>0</v>
      </c>
      <c r="G173" s="753">
        <f>D173*'Emission Factors'!$E$60*0.001</f>
        <v>0</v>
      </c>
      <c r="H173" s="754">
        <f>E173+F173+G173</f>
        <v>0</v>
      </c>
      <c r="I173" s="755">
        <f>D173*'Emission Factors'!$G$60*0.001</f>
        <v>0</v>
      </c>
      <c r="L173" s="801">
        <f t="shared" ref="L173:L182" si="37">C173*0.264</f>
        <v>0</v>
      </c>
      <c r="M173" s="764">
        <f>SUM(L173*35.97)</f>
        <v>0</v>
      </c>
      <c r="N173" s="802">
        <f>SUM(M173*0.002516)</f>
        <v>0</v>
      </c>
    </row>
    <row r="174" spans="1:14">
      <c r="A174" s="751"/>
      <c r="B174" s="751"/>
      <c r="C174" s="764">
        <f>(B174/'Emission Factors'!$B$86)/1000</f>
        <v>0</v>
      </c>
      <c r="D174" s="753">
        <f>'Emission Factors'!$B$60*C174</f>
        <v>0</v>
      </c>
      <c r="E174" s="753">
        <f>D174*'Emission Factors'!$C$60*0.001</f>
        <v>0</v>
      </c>
      <c r="F174" s="753">
        <f>D174*'Emission Factors'!$D$60*0.001</f>
        <v>0</v>
      </c>
      <c r="G174" s="753">
        <f>D174*'Emission Factors'!$E$60*0.001</f>
        <v>0</v>
      </c>
      <c r="H174" s="754">
        <f t="shared" ref="H174:H182" si="38">E174+F174+G174</f>
        <v>0</v>
      </c>
      <c r="I174" s="755">
        <f>D174*'Emission Factors'!$G$60*0.001</f>
        <v>0</v>
      </c>
      <c r="L174" s="801">
        <f t="shared" si="37"/>
        <v>0</v>
      </c>
      <c r="M174" s="764">
        <f t="shared" ref="M174:M182" si="39">SUM(L174*35.97)</f>
        <v>0</v>
      </c>
      <c r="N174" s="802">
        <f t="shared" ref="N174:N182" si="40">SUM(M174*0.002516)</f>
        <v>0</v>
      </c>
    </row>
    <row r="175" spans="1:14">
      <c r="A175" s="751"/>
      <c r="B175" s="751"/>
      <c r="C175" s="764">
        <f>(B175/'Emission Factors'!$B$86)/1000</f>
        <v>0</v>
      </c>
      <c r="D175" s="753">
        <f>'Emission Factors'!$B$60*C175</f>
        <v>0</v>
      </c>
      <c r="E175" s="753">
        <f>D175*'Emission Factors'!$C$60*0.001</f>
        <v>0</v>
      </c>
      <c r="F175" s="753">
        <f>D175*'Emission Factors'!$D$60*0.001</f>
        <v>0</v>
      </c>
      <c r="G175" s="753">
        <f>D175*'Emission Factors'!$E$60*0.001</f>
        <v>0</v>
      </c>
      <c r="H175" s="754">
        <f t="shared" si="38"/>
        <v>0</v>
      </c>
      <c r="I175" s="755">
        <f>D175*'Emission Factors'!$G$60*0.001</f>
        <v>0</v>
      </c>
      <c r="L175" s="801">
        <f t="shared" si="37"/>
        <v>0</v>
      </c>
      <c r="M175" s="764">
        <f t="shared" si="39"/>
        <v>0</v>
      </c>
      <c r="N175" s="802">
        <f t="shared" si="40"/>
        <v>0</v>
      </c>
    </row>
    <row r="176" spans="1:14">
      <c r="A176" s="751"/>
      <c r="B176" s="751"/>
      <c r="C176" s="764">
        <f>(B176/'Emission Factors'!$B$86)/1000</f>
        <v>0</v>
      </c>
      <c r="D176" s="753">
        <f>'Emission Factors'!$B$60*C176</f>
        <v>0</v>
      </c>
      <c r="E176" s="753">
        <f>D176*'Emission Factors'!$C$60*0.001</f>
        <v>0</v>
      </c>
      <c r="F176" s="753">
        <f>D176*'Emission Factors'!$D$60*0.001</f>
        <v>0</v>
      </c>
      <c r="G176" s="753">
        <f>D176*'Emission Factors'!$E$60*0.001</f>
        <v>0</v>
      </c>
      <c r="H176" s="754">
        <f t="shared" si="38"/>
        <v>0</v>
      </c>
      <c r="I176" s="755">
        <f>D176*'Emission Factors'!$G$60*0.001</f>
        <v>0</v>
      </c>
      <c r="L176" s="801">
        <f t="shared" si="37"/>
        <v>0</v>
      </c>
      <c r="M176" s="764">
        <f t="shared" si="39"/>
        <v>0</v>
      </c>
      <c r="N176" s="802">
        <f t="shared" si="40"/>
        <v>0</v>
      </c>
    </row>
    <row r="177" spans="1:14">
      <c r="A177" s="751"/>
      <c r="B177" s="751"/>
      <c r="C177" s="764">
        <f>(B177/'Emission Factors'!$B$86)/1000</f>
        <v>0</v>
      </c>
      <c r="D177" s="753">
        <f>'Emission Factors'!$B$60*C177</f>
        <v>0</v>
      </c>
      <c r="E177" s="753">
        <f>D177*'Emission Factors'!$C$60*0.001</f>
        <v>0</v>
      </c>
      <c r="F177" s="753">
        <f>D177*'Emission Factors'!$D$60*0.001</f>
        <v>0</v>
      </c>
      <c r="G177" s="753">
        <f>D177*'Emission Factors'!$E$60*0.001</f>
        <v>0</v>
      </c>
      <c r="H177" s="754">
        <f t="shared" si="38"/>
        <v>0</v>
      </c>
      <c r="I177" s="755">
        <f>D177*'Emission Factors'!$G$60*0.001</f>
        <v>0</v>
      </c>
      <c r="L177" s="801">
        <f t="shared" si="37"/>
        <v>0</v>
      </c>
      <c r="M177" s="764">
        <f t="shared" si="39"/>
        <v>0</v>
      </c>
      <c r="N177" s="802">
        <f t="shared" si="40"/>
        <v>0</v>
      </c>
    </row>
    <row r="178" spans="1:14">
      <c r="A178" s="751"/>
      <c r="B178" s="751"/>
      <c r="C178" s="764">
        <f>(B178/'Emission Factors'!$B$86)/1000</f>
        <v>0</v>
      </c>
      <c r="D178" s="753">
        <f>'Emission Factors'!$B$60*C178</f>
        <v>0</v>
      </c>
      <c r="E178" s="753">
        <f>D178*'Emission Factors'!$C$60*0.001</f>
        <v>0</v>
      </c>
      <c r="F178" s="753">
        <f>D178*'Emission Factors'!$D$60*0.001</f>
        <v>0</v>
      </c>
      <c r="G178" s="753">
        <f>D178*'Emission Factors'!$E$60*0.001</f>
        <v>0</v>
      </c>
      <c r="H178" s="754">
        <f t="shared" si="38"/>
        <v>0</v>
      </c>
      <c r="I178" s="755">
        <f>D178*'Emission Factors'!$G$60*0.001</f>
        <v>0</v>
      </c>
      <c r="L178" s="801">
        <f t="shared" si="37"/>
        <v>0</v>
      </c>
      <c r="M178" s="764">
        <f t="shared" si="39"/>
        <v>0</v>
      </c>
      <c r="N178" s="802">
        <f t="shared" si="40"/>
        <v>0</v>
      </c>
    </row>
    <row r="179" spans="1:14">
      <c r="A179" s="751"/>
      <c r="B179" s="751"/>
      <c r="C179" s="764">
        <f>(B179/'Emission Factors'!$B$86)/1000</f>
        <v>0</v>
      </c>
      <c r="D179" s="753">
        <f>'Emission Factors'!$B$60*C179</f>
        <v>0</v>
      </c>
      <c r="E179" s="753">
        <f>D179*'Emission Factors'!$C$60*0.001</f>
        <v>0</v>
      </c>
      <c r="F179" s="753">
        <f>D179*'Emission Factors'!$D$60*0.001</f>
        <v>0</v>
      </c>
      <c r="G179" s="753">
        <f>D179*'Emission Factors'!$E$60*0.001</f>
        <v>0</v>
      </c>
      <c r="H179" s="754">
        <f t="shared" si="38"/>
        <v>0</v>
      </c>
      <c r="I179" s="755">
        <f>D179*'Emission Factors'!$G$60*0.001</f>
        <v>0</v>
      </c>
      <c r="L179" s="801">
        <f t="shared" si="37"/>
        <v>0</v>
      </c>
      <c r="M179" s="764">
        <f t="shared" si="39"/>
        <v>0</v>
      </c>
      <c r="N179" s="802">
        <f t="shared" si="40"/>
        <v>0</v>
      </c>
    </row>
    <row r="180" spans="1:14">
      <c r="A180" s="751"/>
      <c r="B180" s="751"/>
      <c r="C180" s="764">
        <f>(B180/'Emission Factors'!$B$86)/1000</f>
        <v>0</v>
      </c>
      <c r="D180" s="753">
        <f>'Emission Factors'!$B$60*C180</f>
        <v>0</v>
      </c>
      <c r="E180" s="753">
        <f>D180*'Emission Factors'!$C$60*0.001</f>
        <v>0</v>
      </c>
      <c r="F180" s="753">
        <f>D180*'Emission Factors'!$D$60*0.001</f>
        <v>0</v>
      </c>
      <c r="G180" s="753">
        <f>D180*'Emission Factors'!$E$60*0.001</f>
        <v>0</v>
      </c>
      <c r="H180" s="754">
        <f t="shared" si="38"/>
        <v>0</v>
      </c>
      <c r="I180" s="755">
        <f>D180*'Emission Factors'!$G$60*0.001</f>
        <v>0</v>
      </c>
      <c r="L180" s="801">
        <f t="shared" si="37"/>
        <v>0</v>
      </c>
      <c r="M180" s="764">
        <f t="shared" si="39"/>
        <v>0</v>
      </c>
      <c r="N180" s="802">
        <f t="shared" si="40"/>
        <v>0</v>
      </c>
    </row>
    <row r="181" spans="1:14">
      <c r="A181" s="751"/>
      <c r="B181" s="751"/>
      <c r="C181" s="764">
        <f>(B181/'Emission Factors'!$B$86)/1000</f>
        <v>0</v>
      </c>
      <c r="D181" s="753">
        <f>'Emission Factors'!$B$60*C181</f>
        <v>0</v>
      </c>
      <c r="E181" s="753">
        <f>D181*'Emission Factors'!$C$60*0.001</f>
        <v>0</v>
      </c>
      <c r="F181" s="753">
        <f>D181*'Emission Factors'!$D$60*0.001</f>
        <v>0</v>
      </c>
      <c r="G181" s="753">
        <f>D181*'Emission Factors'!$E$60*0.001</f>
        <v>0</v>
      </c>
      <c r="H181" s="754">
        <f t="shared" si="38"/>
        <v>0</v>
      </c>
      <c r="I181" s="755">
        <f>D181*'Emission Factors'!$G$60*0.001</f>
        <v>0</v>
      </c>
      <c r="L181" s="801">
        <f t="shared" si="37"/>
        <v>0</v>
      </c>
      <c r="M181" s="764">
        <f t="shared" si="39"/>
        <v>0</v>
      </c>
      <c r="N181" s="802">
        <f t="shared" si="40"/>
        <v>0</v>
      </c>
    </row>
    <row r="182" spans="1:14" ht="16.5" thickBot="1">
      <c r="A182" s="751"/>
      <c r="B182" s="751"/>
      <c r="C182" s="764">
        <f>(B182/'Emission Factors'!$B$86)/1000</f>
        <v>0</v>
      </c>
      <c r="D182" s="753">
        <f>'Emission Factors'!$B$60*C182</f>
        <v>0</v>
      </c>
      <c r="E182" s="753">
        <f>D182*'Emission Factors'!$C$60*0.001</f>
        <v>0</v>
      </c>
      <c r="F182" s="753">
        <f>D182*'Emission Factors'!$D$60*0.001</f>
        <v>0</v>
      </c>
      <c r="G182" s="753">
        <f>D182*'Emission Factors'!$E$60*0.001</f>
        <v>0</v>
      </c>
      <c r="H182" s="756">
        <f t="shared" si="38"/>
        <v>0</v>
      </c>
      <c r="I182" s="755">
        <f>D182*'Emission Factors'!$G$60*0.001</f>
        <v>0</v>
      </c>
      <c r="L182" s="803">
        <f t="shared" si="37"/>
        <v>0</v>
      </c>
      <c r="M182" s="804">
        <f t="shared" si="39"/>
        <v>0</v>
      </c>
      <c r="N182" s="805">
        <f t="shared" si="40"/>
        <v>0</v>
      </c>
    </row>
    <row r="183" spans="1:14" ht="24" thickBot="1">
      <c r="A183" s="769"/>
      <c r="D183" s="759"/>
      <c r="E183" s="742"/>
      <c r="F183" s="759"/>
      <c r="G183" s="760" t="s">
        <v>434</v>
      </c>
      <c r="H183" s="761">
        <f>SUM(H173:H182)</f>
        <v>0</v>
      </c>
      <c r="I183" s="762">
        <f>SUM(I173:I182)</f>
        <v>0</v>
      </c>
    </row>
  </sheetData>
  <mergeCells count="37">
    <mergeCell ref="A155:C155"/>
    <mergeCell ref="D155:E155"/>
    <mergeCell ref="L95:N95"/>
    <mergeCell ref="L171:N171"/>
    <mergeCell ref="A140:C140"/>
    <mergeCell ref="D140:E140"/>
    <mergeCell ref="L141:N141"/>
    <mergeCell ref="A123:Q123"/>
    <mergeCell ref="A124:C124"/>
    <mergeCell ref="D124:E124"/>
    <mergeCell ref="L125:N125"/>
    <mergeCell ref="A170:C170"/>
    <mergeCell ref="D170:E170"/>
    <mergeCell ref="A108:C108"/>
    <mergeCell ref="D108:E108"/>
    <mergeCell ref="A139:C139"/>
    <mergeCell ref="L109:N109"/>
    <mergeCell ref="L156:N156"/>
    <mergeCell ref="A12:N12"/>
    <mergeCell ref="B1:F1"/>
    <mergeCell ref="H1:M1"/>
    <mergeCell ref="A13:C13"/>
    <mergeCell ref="D13:E13"/>
    <mergeCell ref="D63:E63"/>
    <mergeCell ref="A28:C28"/>
    <mergeCell ref="D28:E28"/>
    <mergeCell ref="D78:E78"/>
    <mergeCell ref="D94:E94"/>
    <mergeCell ref="A94:C94"/>
    <mergeCell ref="A63:C63"/>
    <mergeCell ref="A78:C78"/>
    <mergeCell ref="A44:C44"/>
    <mergeCell ref="D44:E44"/>
    <mergeCell ref="A93:Q93"/>
    <mergeCell ref="A62:Q62"/>
    <mergeCell ref="L79:N79"/>
    <mergeCell ref="L64:N64"/>
  </mergeCells>
  <phoneticPr fontId="38" type="noConversion"/>
  <hyperlinks>
    <hyperlink ref="B76" r:id="rId1" xr:uid="{5ED1B5E8-6170-4A60-812F-E6D870A72BAC}"/>
    <hyperlink ref="B42" r:id="rId2" xr:uid="{A022E2CC-DB36-483E-8607-C9AAEDAE62E7}"/>
  </hyperlinks>
  <pageMargins left="0.7" right="0.7" top="0.75" bottom="0.75" header="0.3" footer="0.3"/>
  <pageSetup orientation="portrait" horizontalDpi="4294967293" verticalDpi="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B864-9440-448F-9BE5-039C71FAB98C}">
  <sheetPr>
    <tabColor rgb="FFFF9900"/>
  </sheetPr>
  <dimension ref="A1:R242"/>
  <sheetViews>
    <sheetView topLeftCell="A164" zoomScale="55" zoomScaleNormal="55" workbookViewId="0">
      <selection activeCell="L177" sqref="L177"/>
    </sheetView>
  </sheetViews>
  <sheetFormatPr baseColWidth="10" defaultColWidth="8.85546875" defaultRowHeight="15.75"/>
  <cols>
    <col min="1" max="1" width="28.28515625" style="694" bestFit="1" customWidth="1"/>
    <col min="2" max="2" width="19.85546875" style="694" customWidth="1"/>
    <col min="3" max="3" width="19.42578125" style="694" customWidth="1"/>
    <col min="4" max="5" width="25" style="694" customWidth="1"/>
    <col min="6" max="6" width="17.5703125" style="694" customWidth="1"/>
    <col min="7" max="7" width="19.42578125" style="694" customWidth="1"/>
    <col min="8" max="8" width="16.85546875" style="694" customWidth="1"/>
    <col min="9" max="9" width="21.140625" style="694" bestFit="1" customWidth="1"/>
    <col min="10" max="10" width="17.28515625" style="694" customWidth="1"/>
    <col min="11" max="11" width="14.7109375" style="694" customWidth="1"/>
    <col min="12" max="12" width="15.42578125" style="694" customWidth="1"/>
    <col min="13" max="13" width="11.7109375" style="694" customWidth="1"/>
    <col min="14" max="14" width="14.140625" style="694" customWidth="1"/>
    <col min="15" max="15" width="15.7109375" style="694" customWidth="1"/>
    <col min="16" max="16" width="19.42578125" style="694" customWidth="1"/>
    <col min="17" max="17" width="19.140625" style="694" customWidth="1"/>
    <col min="18" max="31" width="15.7109375" style="694" customWidth="1"/>
    <col min="32" max="35" width="10.7109375" style="694" customWidth="1"/>
    <col min="36" max="16384" width="8.85546875" style="694"/>
  </cols>
  <sheetData>
    <row r="1" spans="1:18" ht="84.75" customHeight="1" thickBot="1">
      <c r="A1" s="730" t="s">
        <v>73</v>
      </c>
      <c r="B1" s="2016" t="s">
        <v>467</v>
      </c>
      <c r="C1" s="2017"/>
      <c r="D1" s="2017"/>
      <c r="E1" s="2017"/>
      <c r="F1" s="2018"/>
      <c r="G1" s="731"/>
      <c r="H1" s="2001" t="s">
        <v>414</v>
      </c>
      <c r="I1" s="2002"/>
      <c r="J1" s="2002"/>
      <c r="K1" s="2002"/>
      <c r="L1" s="2002"/>
      <c r="M1" s="2003"/>
    </row>
    <row r="2" spans="1:18" ht="27.75" customHeight="1">
      <c r="B2" s="732"/>
      <c r="H2" s="733" t="s">
        <v>415</v>
      </c>
      <c r="I2" s="734"/>
      <c r="J2" s="735" t="s">
        <v>416</v>
      </c>
      <c r="K2" s="736"/>
      <c r="L2" s="735" t="s">
        <v>417</v>
      </c>
      <c r="M2" s="737"/>
    </row>
    <row r="3" spans="1:18" ht="45.95" customHeight="1">
      <c r="B3" s="692" t="s">
        <v>468</v>
      </c>
      <c r="C3" s="692" t="s">
        <v>469</v>
      </c>
      <c r="M3" s="712"/>
      <c r="N3" s="712"/>
      <c r="O3" s="712"/>
      <c r="P3" s="674"/>
      <c r="Q3" s="712"/>
      <c r="R3" s="674"/>
    </row>
    <row r="4" spans="1:18" ht="45.95" customHeight="1">
      <c r="A4" s="738"/>
      <c r="B4" s="692" t="s">
        <v>420</v>
      </c>
      <c r="C4" s="692" t="s">
        <v>420</v>
      </c>
    </row>
    <row r="5" spans="1:18" ht="45.6" customHeight="1">
      <c r="A5" s="692" t="s">
        <v>72</v>
      </c>
      <c r="B5" s="739">
        <f>SUM(H27,I73,H43,H58)</f>
        <v>0</v>
      </c>
      <c r="C5" s="739">
        <f>SUM(I27,J73,I43,I58)</f>
        <v>0</v>
      </c>
    </row>
    <row r="6" spans="1:18" ht="45.6" customHeight="1">
      <c r="A6" s="692" t="s">
        <v>470</v>
      </c>
      <c r="B6" s="739">
        <f>SUM(H89,H118,H104,H134)</f>
        <v>0</v>
      </c>
      <c r="C6" s="739">
        <f>SUM(I89,I118,I104,I134)</f>
        <v>0</v>
      </c>
    </row>
    <row r="7" spans="1:18" ht="45.6" customHeight="1">
      <c r="A7" s="692" t="s">
        <v>471</v>
      </c>
      <c r="B7" s="739">
        <f>SUM(H149,H163)</f>
        <v>0</v>
      </c>
      <c r="C7" s="739">
        <f>SUM(I149,I163)</f>
        <v>0</v>
      </c>
    </row>
    <row r="8" spans="1:18" ht="45.6" customHeight="1">
      <c r="A8" s="692" t="s">
        <v>68</v>
      </c>
      <c r="B8" s="739">
        <f>SUM(H179,H194)</f>
        <v>0</v>
      </c>
      <c r="C8" s="739">
        <f>SUM(I179,I194)</f>
        <v>0</v>
      </c>
    </row>
    <row r="9" spans="1:18" ht="45.6" customHeight="1">
      <c r="A9" s="692" t="s">
        <v>472</v>
      </c>
      <c r="B9" s="739">
        <f>SUM(H210,H224,D239)</f>
        <v>0</v>
      </c>
      <c r="C9" s="739">
        <f>SUM(I210,I224,E239)</f>
        <v>0</v>
      </c>
    </row>
    <row r="10" spans="1:18" ht="45.6" customHeight="1">
      <c r="A10" s="692" t="s">
        <v>424</v>
      </c>
      <c r="B10" s="700">
        <f>SUM(B5:B9)</f>
        <v>0</v>
      </c>
      <c r="C10" s="700">
        <f>SUM(C5:C9)</f>
        <v>0</v>
      </c>
    </row>
    <row r="11" spans="1:18">
      <c r="B11" s="732"/>
      <c r="M11" s="712"/>
      <c r="N11" s="712"/>
      <c r="O11" s="712"/>
      <c r="P11" s="674"/>
      <c r="Q11" s="712"/>
      <c r="R11" s="674"/>
    </row>
    <row r="12" spans="1:18">
      <c r="B12" s="732"/>
      <c r="M12" s="712"/>
      <c r="N12" s="712"/>
      <c r="O12" s="712"/>
      <c r="P12" s="674"/>
      <c r="Q12" s="712"/>
      <c r="R12" s="674"/>
    </row>
    <row r="13" spans="1:18" s="740" customFormat="1" ht="36">
      <c r="A13" s="1993" t="s">
        <v>473</v>
      </c>
      <c r="B13" s="1994"/>
      <c r="C13" s="1994"/>
      <c r="D13" s="1994"/>
      <c r="E13" s="1994"/>
      <c r="F13" s="1994"/>
      <c r="G13" s="1994"/>
      <c r="H13" s="1994"/>
      <c r="I13" s="1994"/>
      <c r="J13" s="1994"/>
      <c r="K13" s="1994"/>
      <c r="L13" s="1994"/>
      <c r="M13" s="1994"/>
      <c r="N13" s="1994"/>
      <c r="O13" s="1994"/>
      <c r="P13" s="1994"/>
      <c r="Q13" s="1994"/>
      <c r="R13" s="1994"/>
    </row>
    <row r="14" spans="1:18" s="743" customFormat="1" ht="25.5" customHeight="1" thickBot="1">
      <c r="A14" s="2004" t="s">
        <v>457</v>
      </c>
      <c r="B14" s="2005"/>
      <c r="C14" s="2006"/>
      <c r="D14" s="2007" t="s">
        <v>427</v>
      </c>
      <c r="E14" s="2008"/>
      <c r="F14" s="741"/>
      <c r="G14" s="742"/>
      <c r="H14" s="742"/>
      <c r="I14" s="742"/>
      <c r="J14" s="742"/>
      <c r="K14" s="742"/>
      <c r="L14" s="742"/>
      <c r="M14" s="742"/>
    </row>
    <row r="15" spans="1:18" ht="18.75">
      <c r="E15" s="744"/>
      <c r="F15" s="744"/>
      <c r="G15" s="744"/>
      <c r="H15" s="745" t="s">
        <v>62</v>
      </c>
      <c r="I15" s="746" t="s">
        <v>92</v>
      </c>
    </row>
    <row r="16" spans="1:18" ht="110.45" customHeight="1">
      <c r="A16" s="747" t="s">
        <v>428</v>
      </c>
      <c r="B16" s="747" t="s">
        <v>458</v>
      </c>
      <c r="C16" s="748" t="s">
        <v>474</v>
      </c>
      <c r="D16" s="748" t="s">
        <v>448</v>
      </c>
      <c r="E16" s="748" t="s">
        <v>420</v>
      </c>
      <c r="F16" s="748" t="s">
        <v>431</v>
      </c>
      <c r="G16" s="748" t="s">
        <v>432</v>
      </c>
      <c r="H16" s="749" t="s">
        <v>420</v>
      </c>
      <c r="I16" s="750" t="s">
        <v>420</v>
      </c>
    </row>
    <row r="17" spans="1:15">
      <c r="A17" s="789"/>
      <c r="B17" s="790"/>
      <c r="C17" s="753">
        <f t="shared" ref="C17:C25" si="0">B17/1000</f>
        <v>0</v>
      </c>
      <c r="D17" s="753">
        <f>'Emission Factors'!$B$60*C17</f>
        <v>0</v>
      </c>
      <c r="E17" s="753">
        <f>D17*'Emission Factors'!$C$60*0.001</f>
        <v>0</v>
      </c>
      <c r="F17" s="753">
        <f>D17*'Emission Factors'!$D$60*0.001</f>
        <v>0</v>
      </c>
      <c r="G17" s="753">
        <f>D17*'Emission Factors'!$E$60*0.001</f>
        <v>0</v>
      </c>
      <c r="H17" s="754">
        <f>E17+F17+G17</f>
        <v>0</v>
      </c>
      <c r="I17" s="755">
        <f>D17*'Emission Factors'!$G$60*0.001</f>
        <v>0</v>
      </c>
      <c r="K17" s="710"/>
    </row>
    <row r="18" spans="1:15">
      <c r="A18" s="751"/>
      <c r="B18" s="752"/>
      <c r="C18" s="753">
        <f t="shared" si="0"/>
        <v>0</v>
      </c>
      <c r="D18" s="753">
        <f>'Emission Factors'!$B$60*C18</f>
        <v>0</v>
      </c>
      <c r="E18" s="753">
        <f>D18*'Emission Factors'!$C$60*0.001</f>
        <v>0</v>
      </c>
      <c r="F18" s="753">
        <f>D18*'Emission Factors'!$D$60*0.001</f>
        <v>0</v>
      </c>
      <c r="G18" s="753">
        <f>D18*'Emission Factors'!$E$60*0.001</f>
        <v>0</v>
      </c>
      <c r="H18" s="754">
        <f t="shared" ref="H18:H26" si="1">E18+F18+G18</f>
        <v>0</v>
      </c>
      <c r="I18" s="755">
        <f>D18*'Emission Factors'!$G$60*0.001</f>
        <v>0</v>
      </c>
    </row>
    <row r="19" spans="1:15">
      <c r="A19" s="751"/>
      <c r="B19" s="752"/>
      <c r="C19" s="753">
        <f t="shared" si="0"/>
        <v>0</v>
      </c>
      <c r="D19" s="753">
        <f>'Emission Factors'!$B$60*C19</f>
        <v>0</v>
      </c>
      <c r="E19" s="753">
        <f>D19*'Emission Factors'!$C$60*0.001</f>
        <v>0</v>
      </c>
      <c r="F19" s="753">
        <f>D19*'Emission Factors'!$D$60*0.001</f>
        <v>0</v>
      </c>
      <c r="G19" s="753">
        <f>D19*'Emission Factors'!$E$60*0.001</f>
        <v>0</v>
      </c>
      <c r="H19" s="754">
        <f t="shared" si="1"/>
        <v>0</v>
      </c>
      <c r="I19" s="755">
        <f>D19*'Emission Factors'!$G$60*0.001</f>
        <v>0</v>
      </c>
    </row>
    <row r="20" spans="1:15">
      <c r="A20" s="751"/>
      <c r="B20" s="752"/>
      <c r="C20" s="753">
        <f t="shared" si="0"/>
        <v>0</v>
      </c>
      <c r="D20" s="753">
        <f>'Emission Factors'!$B$60*C20</f>
        <v>0</v>
      </c>
      <c r="E20" s="753">
        <f>D20*'Emission Factors'!$C$60*0.001</f>
        <v>0</v>
      </c>
      <c r="F20" s="753">
        <f>D20*'Emission Factors'!$D$60*0.001</f>
        <v>0</v>
      </c>
      <c r="G20" s="753">
        <f>D20*'Emission Factors'!$E$60*0.001</f>
        <v>0</v>
      </c>
      <c r="H20" s="754">
        <f t="shared" si="1"/>
        <v>0</v>
      </c>
      <c r="I20" s="755">
        <f>D20*'Emission Factors'!$G$60*0.001</f>
        <v>0</v>
      </c>
    </row>
    <row r="21" spans="1:15">
      <c r="A21" s="751"/>
      <c r="B21" s="752"/>
      <c r="C21" s="753">
        <f t="shared" si="0"/>
        <v>0</v>
      </c>
      <c r="D21" s="753">
        <f>'Emission Factors'!$B$60*C21</f>
        <v>0</v>
      </c>
      <c r="E21" s="753">
        <f>D21*'Emission Factors'!$C$60*0.001</f>
        <v>0</v>
      </c>
      <c r="F21" s="753">
        <f>D21*'Emission Factors'!$D$60*0.001</f>
        <v>0</v>
      </c>
      <c r="G21" s="753">
        <f>D21*'Emission Factors'!$E$60*0.001</f>
        <v>0</v>
      </c>
      <c r="H21" s="754">
        <f t="shared" si="1"/>
        <v>0</v>
      </c>
      <c r="I21" s="755">
        <f>D21*'Emission Factors'!$G$60*0.001</f>
        <v>0</v>
      </c>
    </row>
    <row r="22" spans="1:15">
      <c r="A22" s="751"/>
      <c r="B22" s="752"/>
      <c r="C22" s="753">
        <f t="shared" si="0"/>
        <v>0</v>
      </c>
      <c r="D22" s="753">
        <f>'Emission Factors'!$B$60*C22</f>
        <v>0</v>
      </c>
      <c r="E22" s="753">
        <f>D22*'Emission Factors'!$C$60*0.001</f>
        <v>0</v>
      </c>
      <c r="F22" s="753">
        <f>D22*'Emission Factors'!$D$60*0.001</f>
        <v>0</v>
      </c>
      <c r="G22" s="753">
        <f>D22*'Emission Factors'!$E$60*0.001</f>
        <v>0</v>
      </c>
      <c r="H22" s="754">
        <f t="shared" si="1"/>
        <v>0</v>
      </c>
      <c r="I22" s="755">
        <f>D22*'Emission Factors'!$G$60*0.001</f>
        <v>0</v>
      </c>
    </row>
    <row r="23" spans="1:15">
      <c r="A23" s="751"/>
      <c r="B23" s="752"/>
      <c r="C23" s="753">
        <f t="shared" si="0"/>
        <v>0</v>
      </c>
      <c r="D23" s="753">
        <f>'Emission Factors'!$B$60*C23</f>
        <v>0</v>
      </c>
      <c r="E23" s="753">
        <f>D23*'Emission Factors'!$C$60*0.001</f>
        <v>0</v>
      </c>
      <c r="F23" s="753">
        <f>D23*'Emission Factors'!$D$60*0.001</f>
        <v>0</v>
      </c>
      <c r="G23" s="753">
        <f>D23*'Emission Factors'!$E$60*0.001</f>
        <v>0</v>
      </c>
      <c r="H23" s="754">
        <f t="shared" si="1"/>
        <v>0</v>
      </c>
      <c r="I23" s="755">
        <f>D23*'Emission Factors'!$G$60*0.001</f>
        <v>0</v>
      </c>
    </row>
    <row r="24" spans="1:15">
      <c r="A24" s="751"/>
      <c r="B24" s="752"/>
      <c r="C24" s="753">
        <f t="shared" si="0"/>
        <v>0</v>
      </c>
      <c r="D24" s="753">
        <f>'Emission Factors'!$B$60*C24</f>
        <v>0</v>
      </c>
      <c r="E24" s="753">
        <f>D24*'Emission Factors'!$C$60*0.001</f>
        <v>0</v>
      </c>
      <c r="F24" s="753">
        <f>D24*'Emission Factors'!$D$60*0.001</f>
        <v>0</v>
      </c>
      <c r="G24" s="753">
        <f>D24*'Emission Factors'!$E$60*0.001</f>
        <v>0</v>
      </c>
      <c r="H24" s="754">
        <f t="shared" si="1"/>
        <v>0</v>
      </c>
      <c r="I24" s="755">
        <f>D24*'Emission Factors'!$G$60*0.001</f>
        <v>0</v>
      </c>
    </row>
    <row r="25" spans="1:15">
      <c r="A25" s="751"/>
      <c r="B25" s="752"/>
      <c r="C25" s="753">
        <f t="shared" si="0"/>
        <v>0</v>
      </c>
      <c r="D25" s="753">
        <f>'Emission Factors'!$B$60*C25</f>
        <v>0</v>
      </c>
      <c r="E25" s="753">
        <f>D25*'Emission Factors'!$C$60*0.001</f>
        <v>0</v>
      </c>
      <c r="F25" s="753">
        <f>D25*'Emission Factors'!$D$60*0.001</f>
        <v>0</v>
      </c>
      <c r="G25" s="753">
        <f>D25*'Emission Factors'!$E$60*0.001</f>
        <v>0</v>
      </c>
      <c r="H25" s="754">
        <f t="shared" si="1"/>
        <v>0</v>
      </c>
      <c r="I25" s="755">
        <f>D25*'Emission Factors'!$G$60*0.001</f>
        <v>0</v>
      </c>
    </row>
    <row r="26" spans="1:15" ht="16.5" thickBot="1">
      <c r="A26" s="751"/>
      <c r="B26" s="752"/>
      <c r="C26" s="753">
        <f>B26/1000</f>
        <v>0</v>
      </c>
      <c r="D26" s="753">
        <f>'Emission Factors'!$B$60*C26</f>
        <v>0</v>
      </c>
      <c r="E26" s="753">
        <f>D26*'Emission Factors'!$C$60*0.001</f>
        <v>0</v>
      </c>
      <c r="F26" s="753">
        <f>D26*'Emission Factors'!$D$60*0.001</f>
        <v>0</v>
      </c>
      <c r="G26" s="753">
        <f>D26*'Emission Factors'!$E$60*0.001</f>
        <v>0</v>
      </c>
      <c r="H26" s="756">
        <f t="shared" si="1"/>
        <v>0</v>
      </c>
      <c r="I26" s="755">
        <f>D26*'Emission Factors'!$G$60*0.001</f>
        <v>0</v>
      </c>
    </row>
    <row r="27" spans="1:15" s="743" customFormat="1" ht="27" customHeight="1" thickBot="1">
      <c r="B27" s="759"/>
      <c r="C27" s="759"/>
      <c r="D27" s="759"/>
      <c r="E27" s="742"/>
      <c r="F27" s="759"/>
      <c r="G27" s="760" t="s">
        <v>434</v>
      </c>
      <c r="H27" s="761">
        <f>SUM(H17:H26)</f>
        <v>0</v>
      </c>
      <c r="I27" s="762">
        <f>SUM(I17:I26)</f>
        <v>0</v>
      </c>
      <c r="J27" s="742"/>
      <c r="K27" s="742"/>
      <c r="L27" s="742"/>
      <c r="M27" s="742"/>
      <c r="N27" s="742"/>
      <c r="O27" s="759"/>
    </row>
    <row r="28" spans="1:15" s="765" customFormat="1" ht="23.25">
      <c r="A28" s="758" t="s">
        <v>435</v>
      </c>
    </row>
    <row r="29" spans="1:15" s="740" customFormat="1" ht="36">
      <c r="A29" s="2004" t="s">
        <v>461</v>
      </c>
      <c r="B29" s="2005"/>
      <c r="C29" s="2006"/>
    </row>
    <row r="30" spans="1:15" s="743" customFormat="1" ht="24" customHeight="1" thickBot="1">
      <c r="A30" s="2004" t="s">
        <v>462</v>
      </c>
      <c r="B30" s="2005"/>
      <c r="C30" s="2006"/>
      <c r="D30" s="2007" t="s">
        <v>427</v>
      </c>
      <c r="E30" s="2008"/>
      <c r="F30" s="766"/>
      <c r="H30" s="767"/>
      <c r="I30" s="742"/>
      <c r="J30" s="742"/>
      <c r="K30" s="742"/>
      <c r="L30" s="742"/>
      <c r="M30" s="742"/>
    </row>
    <row r="31" spans="1:15" ht="18.75">
      <c r="E31" s="744"/>
      <c r="F31" s="744"/>
      <c r="G31" s="744"/>
      <c r="H31" s="745" t="s">
        <v>62</v>
      </c>
      <c r="I31" s="746" t="s">
        <v>92</v>
      </c>
    </row>
    <row r="32" spans="1:15" ht="110.45" customHeight="1">
      <c r="A32" s="747" t="s">
        <v>428</v>
      </c>
      <c r="B32" s="747" t="s">
        <v>463</v>
      </c>
      <c r="C32" s="747" t="s">
        <v>464</v>
      </c>
      <c r="D32" s="748" t="s">
        <v>448</v>
      </c>
      <c r="E32" s="748" t="s">
        <v>420</v>
      </c>
      <c r="F32" s="748" t="s">
        <v>431</v>
      </c>
      <c r="G32" s="748" t="s">
        <v>432</v>
      </c>
      <c r="H32" s="749" t="s">
        <v>420</v>
      </c>
      <c r="I32" s="750" t="s">
        <v>420</v>
      </c>
    </row>
    <row r="33" spans="1:18">
      <c r="A33" s="751"/>
      <c r="B33" s="791"/>
      <c r="C33" s="753">
        <f>(B33/'Emission Factors'!$F$86)/1000</f>
        <v>0</v>
      </c>
      <c r="D33" s="753">
        <f>'Emission Factors'!$B$60*C33</f>
        <v>0</v>
      </c>
      <c r="E33" s="753">
        <f>D33*'Emission Factors'!$C$60*0.001</f>
        <v>0</v>
      </c>
      <c r="F33" s="753">
        <f>D33*'Emission Factors'!$D$60*0.001</f>
        <v>0</v>
      </c>
      <c r="G33" s="753">
        <f>D33*'Emission Factors'!$E$60*0.001</f>
        <v>0</v>
      </c>
      <c r="H33" s="754">
        <f>E33+F33+G33</f>
        <v>0</v>
      </c>
      <c r="I33" s="755">
        <f>D33*'Emission Factors'!$G$60*0.001</f>
        <v>0</v>
      </c>
    </row>
    <row r="34" spans="1:18">
      <c r="A34" s="751"/>
      <c r="B34" s="768"/>
      <c r="C34" s="753">
        <f>(B34/'Emission Factors'!$F$86)/1000</f>
        <v>0</v>
      </c>
      <c r="D34" s="753">
        <f>'Emission Factors'!$B$60*C34</f>
        <v>0</v>
      </c>
      <c r="E34" s="753">
        <f>D34*'Emission Factors'!$C$60*0.001</f>
        <v>0</v>
      </c>
      <c r="F34" s="753">
        <f>D34*'Emission Factors'!$D$60*0.001</f>
        <v>0</v>
      </c>
      <c r="G34" s="753">
        <f>D34*'Emission Factors'!$E$60*0.001</f>
        <v>0</v>
      </c>
      <c r="H34" s="754">
        <f t="shared" ref="H34:H42" si="2">E34+F34+G34</f>
        <v>0</v>
      </c>
      <c r="I34" s="755">
        <f>D34*'Emission Factors'!$G$60*0.001</f>
        <v>0</v>
      </c>
    </row>
    <row r="35" spans="1:18">
      <c r="A35" s="751"/>
      <c r="B35" s="768"/>
      <c r="C35" s="753">
        <f>(B35/'Emission Factors'!$F$86)/1000</f>
        <v>0</v>
      </c>
      <c r="D35" s="753">
        <f>'Emission Factors'!$B$60*C35</f>
        <v>0</v>
      </c>
      <c r="E35" s="753">
        <f>D35*'Emission Factors'!$C$60*0.001</f>
        <v>0</v>
      </c>
      <c r="F35" s="753">
        <f>D35*'Emission Factors'!$D$60*0.001</f>
        <v>0</v>
      </c>
      <c r="G35" s="753">
        <f>D35*'Emission Factors'!$E$60*0.001</f>
        <v>0</v>
      </c>
      <c r="H35" s="754">
        <f t="shared" si="2"/>
        <v>0</v>
      </c>
      <c r="I35" s="755">
        <f>D35*'Emission Factors'!$G$60*0.001</f>
        <v>0</v>
      </c>
    </row>
    <row r="36" spans="1:18">
      <c r="A36" s="751"/>
      <c r="B36" s="768"/>
      <c r="C36" s="753">
        <f>(B36/'Emission Factors'!$F$86)/1000</f>
        <v>0</v>
      </c>
      <c r="D36" s="753">
        <f>'Emission Factors'!$B$60*C36</f>
        <v>0</v>
      </c>
      <c r="E36" s="753">
        <f>D36*'Emission Factors'!$C$60*0.001</f>
        <v>0</v>
      </c>
      <c r="F36" s="753">
        <f>D36*'Emission Factors'!$D$60*0.001</f>
        <v>0</v>
      </c>
      <c r="G36" s="753">
        <f>D36*'Emission Factors'!$E$60*0.001</f>
        <v>0</v>
      </c>
      <c r="H36" s="754">
        <f t="shared" si="2"/>
        <v>0</v>
      </c>
      <c r="I36" s="755">
        <f>D36*'Emission Factors'!$G$60*0.001</f>
        <v>0</v>
      </c>
    </row>
    <row r="37" spans="1:18">
      <c r="A37" s="751"/>
      <c r="B37" s="768"/>
      <c r="C37" s="753">
        <f>(B37/'Emission Factors'!$F$86)/1000</f>
        <v>0</v>
      </c>
      <c r="D37" s="753">
        <f>'Emission Factors'!$B$60*C37</f>
        <v>0</v>
      </c>
      <c r="E37" s="753">
        <f>D37*'Emission Factors'!$C$60*0.001</f>
        <v>0</v>
      </c>
      <c r="F37" s="753">
        <f>D37*'Emission Factors'!$D$60*0.001</f>
        <v>0</v>
      </c>
      <c r="G37" s="753">
        <f>D37*'Emission Factors'!$E$60*0.001</f>
        <v>0</v>
      </c>
      <c r="H37" s="754">
        <f t="shared" si="2"/>
        <v>0</v>
      </c>
      <c r="I37" s="755">
        <f>D37*'Emission Factors'!$G$60*0.001</f>
        <v>0</v>
      </c>
    </row>
    <row r="38" spans="1:18">
      <c r="A38" s="751"/>
      <c r="B38" s="768"/>
      <c r="C38" s="753">
        <f>(B38/'Emission Factors'!$F$86)/1000</f>
        <v>0</v>
      </c>
      <c r="D38" s="753">
        <f>'Emission Factors'!$B$60*C38</f>
        <v>0</v>
      </c>
      <c r="E38" s="753">
        <f>D38*'Emission Factors'!$C$60*0.001</f>
        <v>0</v>
      </c>
      <c r="F38" s="753">
        <f>D38*'Emission Factors'!$D$60*0.001</f>
        <v>0</v>
      </c>
      <c r="G38" s="753">
        <f>D38*'Emission Factors'!$E$60*0.001</f>
        <v>0</v>
      </c>
      <c r="H38" s="754">
        <f t="shared" si="2"/>
        <v>0</v>
      </c>
      <c r="I38" s="755">
        <f>D38*'Emission Factors'!$G$60*0.001</f>
        <v>0</v>
      </c>
    </row>
    <row r="39" spans="1:18">
      <c r="A39" s="751"/>
      <c r="B39" s="768"/>
      <c r="C39" s="753">
        <f>(B39/'Emission Factors'!$F$86)/1000</f>
        <v>0</v>
      </c>
      <c r="D39" s="753">
        <f>'Emission Factors'!$B$60*C39</f>
        <v>0</v>
      </c>
      <c r="E39" s="753">
        <f>D39*'Emission Factors'!$C$60*0.001</f>
        <v>0</v>
      </c>
      <c r="F39" s="753">
        <f>D39*'Emission Factors'!$D$60*0.001</f>
        <v>0</v>
      </c>
      <c r="G39" s="753">
        <f>D39*'Emission Factors'!$E$60*0.001</f>
        <v>0</v>
      </c>
      <c r="H39" s="754">
        <f t="shared" si="2"/>
        <v>0</v>
      </c>
      <c r="I39" s="755">
        <f>D39*'Emission Factors'!$G$60*0.001</f>
        <v>0</v>
      </c>
    </row>
    <row r="40" spans="1:18">
      <c r="A40" s="751"/>
      <c r="B40" s="768"/>
      <c r="C40" s="753">
        <f>(B40/'Emission Factors'!$F$86)/1000</f>
        <v>0</v>
      </c>
      <c r="D40" s="753">
        <f>'Emission Factors'!$B$60*C40</f>
        <v>0</v>
      </c>
      <c r="E40" s="753">
        <f>D40*'Emission Factors'!$C$60*0.001</f>
        <v>0</v>
      </c>
      <c r="F40" s="753">
        <f>D40*'Emission Factors'!$D$60*0.001</f>
        <v>0</v>
      </c>
      <c r="G40" s="753">
        <f>D40*'Emission Factors'!$E$60*0.001</f>
        <v>0</v>
      </c>
      <c r="H40" s="754">
        <f t="shared" si="2"/>
        <v>0</v>
      </c>
      <c r="I40" s="755">
        <f>D40*'Emission Factors'!$G$60*0.001</f>
        <v>0</v>
      </c>
    </row>
    <row r="41" spans="1:18">
      <c r="A41" s="751"/>
      <c r="B41" s="768"/>
      <c r="C41" s="753">
        <f>(B41/'Emission Factors'!$F$86)/1000</f>
        <v>0</v>
      </c>
      <c r="D41" s="753">
        <f>'Emission Factors'!$B$60*C41</f>
        <v>0</v>
      </c>
      <c r="E41" s="753">
        <f>D41*'Emission Factors'!$C$60*0.001</f>
        <v>0</v>
      </c>
      <c r="F41" s="753">
        <f>D41*'Emission Factors'!$D$60*0.001</f>
        <v>0</v>
      </c>
      <c r="G41" s="753">
        <f>D41*'Emission Factors'!$E$60*0.001</f>
        <v>0</v>
      </c>
      <c r="H41" s="754">
        <f t="shared" si="2"/>
        <v>0</v>
      </c>
      <c r="I41" s="755">
        <f>D41*'Emission Factors'!$G$60*0.001</f>
        <v>0</v>
      </c>
    </row>
    <row r="42" spans="1:18" ht="16.5" thickBot="1">
      <c r="A42" s="751"/>
      <c r="B42" s="768"/>
      <c r="C42" s="753">
        <f>(B42/'Emission Factors'!$F$86)/1000</f>
        <v>0</v>
      </c>
      <c r="D42" s="753">
        <f>'Emission Factors'!$B$60*C42</f>
        <v>0</v>
      </c>
      <c r="E42" s="753">
        <f>D42*'Emission Factors'!$C$60*0.001</f>
        <v>0</v>
      </c>
      <c r="F42" s="753">
        <f>D42*'Emission Factors'!$D$60*0.001</f>
        <v>0</v>
      </c>
      <c r="G42" s="753">
        <f>D42*'Emission Factors'!$E$60*0.001</f>
        <v>0</v>
      </c>
      <c r="H42" s="754">
        <f t="shared" si="2"/>
        <v>0</v>
      </c>
      <c r="I42" s="755">
        <f>D42*'Emission Factors'!$G$60*0.001</f>
        <v>0</v>
      </c>
    </row>
    <row r="43" spans="1:18" ht="16.5" thickBot="1">
      <c r="A43" s="769"/>
      <c r="G43" s="760" t="s">
        <v>434</v>
      </c>
      <c r="H43" s="761">
        <f>SUM(H33:H42)</f>
        <v>0</v>
      </c>
      <c r="I43" s="762">
        <f>SUM(I33:I42)</f>
        <v>0</v>
      </c>
    </row>
    <row r="44" spans="1:18" s="743" customFormat="1" ht="23.25"/>
    <row r="45" spans="1:18" s="743" customFormat="1" ht="24" customHeight="1" thickBot="1">
      <c r="A45" s="2004" t="s">
        <v>465</v>
      </c>
      <c r="B45" s="2005"/>
      <c r="C45" s="2006"/>
      <c r="D45" s="2007" t="s">
        <v>427</v>
      </c>
      <c r="E45" s="2008"/>
      <c r="F45" s="741"/>
      <c r="G45" s="742"/>
      <c r="H45" s="742"/>
      <c r="I45" s="742"/>
      <c r="J45" s="742"/>
      <c r="K45" s="742"/>
      <c r="L45" s="742"/>
      <c r="M45" s="742"/>
      <c r="P45" s="766"/>
      <c r="R45" s="767"/>
    </row>
    <row r="46" spans="1:18" ht="18.75">
      <c r="E46" s="744"/>
      <c r="F46" s="744"/>
      <c r="G46" s="744"/>
      <c r="H46" s="745" t="s">
        <v>62</v>
      </c>
      <c r="I46" s="746" t="s">
        <v>92</v>
      </c>
    </row>
    <row r="47" spans="1:18" ht="110.45" customHeight="1">
      <c r="A47" s="747" t="s">
        <v>428</v>
      </c>
      <c r="B47" s="747" t="s">
        <v>463</v>
      </c>
      <c r="C47" s="747" t="s">
        <v>464</v>
      </c>
      <c r="D47" s="748" t="s">
        <v>448</v>
      </c>
      <c r="E47" s="748" t="s">
        <v>420</v>
      </c>
      <c r="F47" s="748" t="s">
        <v>431</v>
      </c>
      <c r="G47" s="748" t="s">
        <v>432</v>
      </c>
      <c r="H47" s="749" t="s">
        <v>420</v>
      </c>
      <c r="I47" s="750" t="s">
        <v>420</v>
      </c>
    </row>
    <row r="48" spans="1:18">
      <c r="A48" s="751"/>
      <c r="B48" s="768"/>
      <c r="C48" s="753">
        <f>(B48/'Emission Factors'!$F$87)/1000</f>
        <v>0</v>
      </c>
      <c r="D48" s="753">
        <f>'Emission Factors'!$B$60*C48</f>
        <v>0</v>
      </c>
      <c r="E48" s="753">
        <f>D48*'Emission Factors'!$C$60*0.001</f>
        <v>0</v>
      </c>
      <c r="F48" s="753">
        <f>D48*'Emission Factors'!$D$60*0.001</f>
        <v>0</v>
      </c>
      <c r="G48" s="753">
        <f>D48*'Emission Factors'!$E$60*0.001</f>
        <v>0</v>
      </c>
      <c r="H48" s="754">
        <f>E48+F48+G48</f>
        <v>0</v>
      </c>
      <c r="I48" s="755">
        <f>D48*'Emission Factors'!$G$60*0.001</f>
        <v>0</v>
      </c>
    </row>
    <row r="49" spans="1:13">
      <c r="A49" s="751"/>
      <c r="B49" s="768"/>
      <c r="C49" s="753">
        <f>(B49/'Emission Factors'!$F$87)/1000</f>
        <v>0</v>
      </c>
      <c r="D49" s="753">
        <f>'Emission Factors'!$B$60*C49</f>
        <v>0</v>
      </c>
      <c r="E49" s="753">
        <f>D49*'Emission Factors'!$C$60*0.001</f>
        <v>0</v>
      </c>
      <c r="F49" s="753">
        <f>D49*'Emission Factors'!$D$60*0.001</f>
        <v>0</v>
      </c>
      <c r="G49" s="753">
        <f>D49*'Emission Factors'!$E$60*0.001</f>
        <v>0</v>
      </c>
      <c r="H49" s="754">
        <f t="shared" ref="H49:H57" si="3">E49+F49+G49</f>
        <v>0</v>
      </c>
      <c r="I49" s="755">
        <f>D49*'Emission Factors'!$G$60*0.001</f>
        <v>0</v>
      </c>
    </row>
    <row r="50" spans="1:13">
      <c r="A50" s="751"/>
      <c r="B50" s="768"/>
      <c r="C50" s="753">
        <f>(B50/'Emission Factors'!$F$87)/1000</f>
        <v>0</v>
      </c>
      <c r="D50" s="753">
        <f>'Emission Factors'!$B$60*C50</f>
        <v>0</v>
      </c>
      <c r="E50" s="753">
        <f>D50*'Emission Factors'!$C$60*0.001</f>
        <v>0</v>
      </c>
      <c r="F50" s="753">
        <f>D50*'Emission Factors'!$D$60*0.001</f>
        <v>0</v>
      </c>
      <c r="G50" s="753">
        <f>D50*'Emission Factors'!$E$60*0.001</f>
        <v>0</v>
      </c>
      <c r="H50" s="754">
        <f t="shared" si="3"/>
        <v>0</v>
      </c>
      <c r="I50" s="755">
        <f>D50*'Emission Factors'!$G$60*0.001</f>
        <v>0</v>
      </c>
    </row>
    <row r="51" spans="1:13">
      <c r="A51" s="751"/>
      <c r="B51" s="768"/>
      <c r="C51" s="753">
        <f>(B51/'Emission Factors'!$F$87)/1000</f>
        <v>0</v>
      </c>
      <c r="D51" s="753">
        <f>'Emission Factors'!$B$60*C51</f>
        <v>0</v>
      </c>
      <c r="E51" s="753">
        <f>D51*'Emission Factors'!$C$60*0.001</f>
        <v>0</v>
      </c>
      <c r="F51" s="753">
        <f>D51*'Emission Factors'!$D$60*0.001</f>
        <v>0</v>
      </c>
      <c r="G51" s="753">
        <f>D51*'Emission Factors'!$E$60*0.001</f>
        <v>0</v>
      </c>
      <c r="H51" s="754">
        <f t="shared" si="3"/>
        <v>0</v>
      </c>
      <c r="I51" s="755">
        <f>D51*'Emission Factors'!$G$60*0.001</f>
        <v>0</v>
      </c>
    </row>
    <row r="52" spans="1:13">
      <c r="A52" s="751"/>
      <c r="B52" s="768"/>
      <c r="C52" s="753">
        <f>(B52/'Emission Factors'!$F$87)/1000</f>
        <v>0</v>
      </c>
      <c r="D52" s="753">
        <f>'Emission Factors'!$B$60*C52</f>
        <v>0</v>
      </c>
      <c r="E52" s="753">
        <f>D52*'Emission Factors'!$C$60*0.001</f>
        <v>0</v>
      </c>
      <c r="F52" s="753">
        <f>D52*'Emission Factors'!$D$60*0.001</f>
        <v>0</v>
      </c>
      <c r="G52" s="753">
        <f>D52*'Emission Factors'!$E$60*0.001</f>
        <v>0</v>
      </c>
      <c r="H52" s="754">
        <f t="shared" si="3"/>
        <v>0</v>
      </c>
      <c r="I52" s="755">
        <f>D52*'Emission Factors'!$G$60*0.001</f>
        <v>0</v>
      </c>
    </row>
    <row r="53" spans="1:13">
      <c r="A53" s="751"/>
      <c r="B53" s="768"/>
      <c r="C53" s="753">
        <f>(B53/'Emission Factors'!$F$87)/1000</f>
        <v>0</v>
      </c>
      <c r="D53" s="753">
        <f>'Emission Factors'!$B$60*C53</f>
        <v>0</v>
      </c>
      <c r="E53" s="753">
        <f>D53*'Emission Factors'!$C$60*0.001</f>
        <v>0</v>
      </c>
      <c r="F53" s="753">
        <f>D53*'Emission Factors'!$D$60*0.001</f>
        <v>0</v>
      </c>
      <c r="G53" s="753">
        <f>D53*'Emission Factors'!$E$60*0.001</f>
        <v>0</v>
      </c>
      <c r="H53" s="754">
        <f t="shared" si="3"/>
        <v>0</v>
      </c>
      <c r="I53" s="755">
        <f>D53*'Emission Factors'!$G$60*0.001</f>
        <v>0</v>
      </c>
    </row>
    <row r="54" spans="1:13">
      <c r="A54" s="751"/>
      <c r="B54" s="768"/>
      <c r="C54" s="753">
        <f>(B54/'Emission Factors'!$F$87)/1000</f>
        <v>0</v>
      </c>
      <c r="D54" s="753">
        <f>'Emission Factors'!$B$60*C54</f>
        <v>0</v>
      </c>
      <c r="E54" s="753">
        <f>D54*'Emission Factors'!$C$60*0.001</f>
        <v>0</v>
      </c>
      <c r="F54" s="753">
        <f>D54*'Emission Factors'!$D$60*0.001</f>
        <v>0</v>
      </c>
      <c r="G54" s="753">
        <f>D54*'Emission Factors'!$E$60*0.001</f>
        <v>0</v>
      </c>
      <c r="H54" s="754">
        <f t="shared" si="3"/>
        <v>0</v>
      </c>
      <c r="I54" s="755">
        <f>D54*'Emission Factors'!$G$60*0.001</f>
        <v>0</v>
      </c>
    </row>
    <row r="55" spans="1:13">
      <c r="A55" s="751"/>
      <c r="B55" s="768"/>
      <c r="C55" s="753">
        <f>(B55/'Emission Factors'!$F$87)/1000</f>
        <v>0</v>
      </c>
      <c r="D55" s="753">
        <f>'Emission Factors'!$B$60*C55</f>
        <v>0</v>
      </c>
      <c r="E55" s="753">
        <f>D55*'Emission Factors'!$C$60*0.001</f>
        <v>0</v>
      </c>
      <c r="F55" s="753">
        <f>D55*'Emission Factors'!$D$60*0.001</f>
        <v>0</v>
      </c>
      <c r="G55" s="753">
        <f>D55*'Emission Factors'!$E$60*0.001</f>
        <v>0</v>
      </c>
      <c r="H55" s="754">
        <f t="shared" si="3"/>
        <v>0</v>
      </c>
      <c r="I55" s="755">
        <f>D55*'Emission Factors'!$G$60*0.001</f>
        <v>0</v>
      </c>
    </row>
    <row r="56" spans="1:13">
      <c r="A56" s="751"/>
      <c r="B56" s="768"/>
      <c r="C56" s="753">
        <f>(B56/'Emission Factors'!$F$87)/1000</f>
        <v>0</v>
      </c>
      <c r="D56" s="753">
        <f>'Emission Factors'!$B$60*C56</f>
        <v>0</v>
      </c>
      <c r="E56" s="753">
        <f>D56*'Emission Factors'!$C$60*0.001</f>
        <v>0</v>
      </c>
      <c r="F56" s="753">
        <f>D56*'Emission Factors'!$D$60*0.001</f>
        <v>0</v>
      </c>
      <c r="G56" s="753">
        <f>D56*'Emission Factors'!$E$60*0.001</f>
        <v>0</v>
      </c>
      <c r="H56" s="754">
        <f t="shared" si="3"/>
        <v>0</v>
      </c>
      <c r="I56" s="755">
        <f>D56*'Emission Factors'!$G$60*0.001</f>
        <v>0</v>
      </c>
    </row>
    <row r="57" spans="1:13" ht="16.5" thickBot="1">
      <c r="A57" s="751"/>
      <c r="B57" s="768"/>
      <c r="C57" s="753">
        <f>(B57/'Emission Factors'!$F$87)/1000</f>
        <v>0</v>
      </c>
      <c r="D57" s="753">
        <f>'Emission Factors'!$B$60*C57</f>
        <v>0</v>
      </c>
      <c r="E57" s="753">
        <f>D57*'Emission Factors'!$C$60*0.001</f>
        <v>0</v>
      </c>
      <c r="F57" s="753">
        <f>D57*'Emission Factors'!$D$60*0.001</f>
        <v>0</v>
      </c>
      <c r="G57" s="753">
        <f>D57*'Emission Factors'!$E$60*0.001</f>
        <v>0</v>
      </c>
      <c r="H57" s="754">
        <f t="shared" si="3"/>
        <v>0</v>
      </c>
      <c r="I57" s="755">
        <f>D57*'Emission Factors'!$G$60*0.001</f>
        <v>0</v>
      </c>
    </row>
    <row r="58" spans="1:13" ht="16.5" thickBot="1">
      <c r="A58" s="769"/>
      <c r="G58" s="760" t="s">
        <v>434</v>
      </c>
      <c r="H58" s="761">
        <f>SUM(H48:H57)</f>
        <v>0</v>
      </c>
      <c r="I58" s="762">
        <f>SUM(I48:I57)</f>
        <v>0</v>
      </c>
    </row>
    <row r="59" spans="1:13" ht="23.25">
      <c r="A59" s="758" t="s">
        <v>435</v>
      </c>
    </row>
    <row r="60" spans="1:13" s="743" customFormat="1" ht="22.5" customHeight="1" thickBot="1">
      <c r="A60" s="2004" t="s">
        <v>475</v>
      </c>
      <c r="B60" s="2005"/>
      <c r="C60" s="2006"/>
      <c r="D60" s="2007" t="s">
        <v>427</v>
      </c>
      <c r="E60" s="2008"/>
      <c r="F60" s="741"/>
      <c r="G60" s="742"/>
      <c r="H60" s="742"/>
      <c r="I60" s="742"/>
      <c r="J60" s="742"/>
      <c r="K60" s="742"/>
      <c r="L60" s="742"/>
      <c r="M60" s="742"/>
    </row>
    <row r="61" spans="1:13" ht="18.75">
      <c r="F61" s="744"/>
      <c r="G61" s="744"/>
      <c r="H61" s="744"/>
      <c r="I61" s="745" t="s">
        <v>62</v>
      </c>
      <c r="J61" s="746" t="s">
        <v>92</v>
      </c>
    </row>
    <row r="62" spans="1:13" ht="110.45" customHeight="1">
      <c r="A62" s="747" t="s">
        <v>428</v>
      </c>
      <c r="B62" s="747" t="s">
        <v>442</v>
      </c>
      <c r="C62" s="747" t="s">
        <v>476</v>
      </c>
      <c r="D62" s="748" t="s">
        <v>474</v>
      </c>
      <c r="E62" s="748" t="s">
        <v>448</v>
      </c>
      <c r="F62" s="748" t="s">
        <v>420</v>
      </c>
      <c r="G62" s="748" t="s">
        <v>431</v>
      </c>
      <c r="H62" s="748" t="s">
        <v>432</v>
      </c>
      <c r="I62" s="749" t="s">
        <v>420</v>
      </c>
      <c r="J62" s="750" t="s">
        <v>420</v>
      </c>
    </row>
    <row r="63" spans="1:13">
      <c r="A63" s="751"/>
      <c r="B63" s="763"/>
      <c r="C63" s="764">
        <f>B63/'Emission Factors'!$B$86</f>
        <v>0</v>
      </c>
      <c r="D63" s="753">
        <f>C63/1000</f>
        <v>0</v>
      </c>
      <c r="E63" s="753">
        <f>'Emission Factors'!$B$60*D63</f>
        <v>0</v>
      </c>
      <c r="F63" s="753">
        <f>E63*'Emission Factors'!$C$60*0.001</f>
        <v>0</v>
      </c>
      <c r="G63" s="753">
        <f>E63*'Emission Factors'!$D$60*0.001</f>
        <v>0</v>
      </c>
      <c r="H63" s="753">
        <f>E63*'Emission Factors'!$E$60*0.001</f>
        <v>0</v>
      </c>
      <c r="I63" s="754">
        <f>F63+G63+H63</f>
        <v>0</v>
      </c>
      <c r="J63" s="755">
        <f>E63*'Emission Factors'!$G$60*0.001</f>
        <v>0</v>
      </c>
    </row>
    <row r="64" spans="1:13">
      <c r="A64" s="751"/>
      <c r="B64" s="763"/>
      <c r="C64" s="764">
        <f>B64/'Emission Factors'!$B$86</f>
        <v>0</v>
      </c>
      <c r="D64" s="753">
        <f t="shared" ref="D64:D71" si="4">C64/1000</f>
        <v>0</v>
      </c>
      <c r="E64" s="753">
        <f>'Emission Factors'!$B$60*D64</f>
        <v>0</v>
      </c>
      <c r="F64" s="753">
        <f>E64*'Emission Factors'!$C$60*0.001</f>
        <v>0</v>
      </c>
      <c r="G64" s="753">
        <f>E64*'Emission Factors'!$D$60*0.001</f>
        <v>0</v>
      </c>
      <c r="H64" s="753">
        <f>E64*'Emission Factors'!$E$60*0.001</f>
        <v>0</v>
      </c>
      <c r="I64" s="754">
        <f t="shared" ref="I64:I72" si="5">F64+G64+H64</f>
        <v>0</v>
      </c>
      <c r="J64" s="755">
        <f>E64*'Emission Factors'!$G$60*0.001</f>
        <v>0</v>
      </c>
    </row>
    <row r="65" spans="1:18" ht="15" customHeight="1">
      <c r="A65" s="751"/>
      <c r="B65" s="763"/>
      <c r="C65" s="764">
        <f>B65/'Emission Factors'!$B$86</f>
        <v>0</v>
      </c>
      <c r="D65" s="753">
        <f t="shared" si="4"/>
        <v>0</v>
      </c>
      <c r="E65" s="753">
        <f>'Emission Factors'!$B$60*D65</f>
        <v>0</v>
      </c>
      <c r="F65" s="753">
        <f>E65*'Emission Factors'!$C$60*0.001</f>
        <v>0</v>
      </c>
      <c r="G65" s="753">
        <f>E65*'Emission Factors'!$D$60*0.001</f>
        <v>0</v>
      </c>
      <c r="H65" s="753">
        <f>E65*'Emission Factors'!$E$60*0.001</f>
        <v>0</v>
      </c>
      <c r="I65" s="754">
        <f t="shared" si="5"/>
        <v>0</v>
      </c>
      <c r="J65" s="755">
        <f>E65*'Emission Factors'!$G$60*0.001</f>
        <v>0</v>
      </c>
    </row>
    <row r="66" spans="1:18" ht="15" customHeight="1">
      <c r="A66" s="751"/>
      <c r="B66" s="763"/>
      <c r="C66" s="764">
        <f>B66/'Emission Factors'!$B$86</f>
        <v>0</v>
      </c>
      <c r="D66" s="753">
        <f t="shared" si="4"/>
        <v>0</v>
      </c>
      <c r="E66" s="753">
        <f>'Emission Factors'!$B$60*D66</f>
        <v>0</v>
      </c>
      <c r="F66" s="753">
        <f>E66*'Emission Factors'!$C$60*0.001</f>
        <v>0</v>
      </c>
      <c r="G66" s="753">
        <f>E66*'Emission Factors'!$D$60*0.001</f>
        <v>0</v>
      </c>
      <c r="H66" s="753">
        <f>E66*'Emission Factors'!$E$60*0.001</f>
        <v>0</v>
      </c>
      <c r="I66" s="754">
        <f t="shared" si="5"/>
        <v>0</v>
      </c>
      <c r="J66" s="755">
        <f>E66*'Emission Factors'!$G$60*0.001</f>
        <v>0</v>
      </c>
    </row>
    <row r="67" spans="1:18" ht="15" customHeight="1">
      <c r="A67" s="751"/>
      <c r="B67" s="763"/>
      <c r="C67" s="764">
        <f>B67/'Emission Factors'!$B$86</f>
        <v>0</v>
      </c>
      <c r="D67" s="753">
        <f t="shared" si="4"/>
        <v>0</v>
      </c>
      <c r="E67" s="753">
        <f>'Emission Factors'!$B$60*D67</f>
        <v>0</v>
      </c>
      <c r="F67" s="753">
        <f>E67*'Emission Factors'!$C$60*0.001</f>
        <v>0</v>
      </c>
      <c r="G67" s="753">
        <f>E67*'Emission Factors'!$D$60*0.001</f>
        <v>0</v>
      </c>
      <c r="H67" s="753">
        <f>E67*'Emission Factors'!$E$60*0.001</f>
        <v>0</v>
      </c>
      <c r="I67" s="754">
        <f t="shared" si="5"/>
        <v>0</v>
      </c>
      <c r="J67" s="755">
        <f>E67*'Emission Factors'!$G$60*0.001</f>
        <v>0</v>
      </c>
    </row>
    <row r="68" spans="1:18" ht="15" customHeight="1">
      <c r="A68" s="751"/>
      <c r="B68" s="763"/>
      <c r="C68" s="764">
        <f>B68/'Emission Factors'!$B$86</f>
        <v>0</v>
      </c>
      <c r="D68" s="753">
        <f t="shared" si="4"/>
        <v>0</v>
      </c>
      <c r="E68" s="753">
        <f>'Emission Factors'!$B$60*D68</f>
        <v>0</v>
      </c>
      <c r="F68" s="753">
        <f>E68*'Emission Factors'!$C$60*0.001</f>
        <v>0</v>
      </c>
      <c r="G68" s="753">
        <f>E68*'Emission Factors'!$D$60*0.001</f>
        <v>0</v>
      </c>
      <c r="H68" s="753">
        <f>E68*'Emission Factors'!$E$60*0.001</f>
        <v>0</v>
      </c>
      <c r="I68" s="754">
        <f t="shared" si="5"/>
        <v>0</v>
      </c>
      <c r="J68" s="755">
        <f>E68*'Emission Factors'!$G$60*0.001</f>
        <v>0</v>
      </c>
    </row>
    <row r="69" spans="1:18" ht="15" customHeight="1">
      <c r="A69" s="751"/>
      <c r="B69" s="763"/>
      <c r="C69" s="764">
        <f>B69/'Emission Factors'!$B$86</f>
        <v>0</v>
      </c>
      <c r="D69" s="753">
        <f t="shared" si="4"/>
        <v>0</v>
      </c>
      <c r="E69" s="753">
        <f>'Emission Factors'!$B$60*D69</f>
        <v>0</v>
      </c>
      <c r="F69" s="753">
        <f>E69*'Emission Factors'!$C$60*0.001</f>
        <v>0</v>
      </c>
      <c r="G69" s="753">
        <f>E69*'Emission Factors'!$D$60*0.001</f>
        <v>0</v>
      </c>
      <c r="H69" s="753">
        <f>E69*'Emission Factors'!$E$60*0.001</f>
        <v>0</v>
      </c>
      <c r="I69" s="754">
        <f t="shared" si="5"/>
        <v>0</v>
      </c>
      <c r="J69" s="755">
        <f>E69*'Emission Factors'!$G$60*0.001</f>
        <v>0</v>
      </c>
    </row>
    <row r="70" spans="1:18" ht="15" customHeight="1">
      <c r="A70" s="751"/>
      <c r="B70" s="763"/>
      <c r="C70" s="764">
        <f>B70/'Emission Factors'!$B$86</f>
        <v>0</v>
      </c>
      <c r="D70" s="753">
        <f t="shared" si="4"/>
        <v>0</v>
      </c>
      <c r="E70" s="753">
        <f>'Emission Factors'!$B$60*D70</f>
        <v>0</v>
      </c>
      <c r="F70" s="753">
        <f>E70*'Emission Factors'!$C$60*0.001</f>
        <v>0</v>
      </c>
      <c r="G70" s="753">
        <f>E70*'Emission Factors'!$D$60*0.001</f>
        <v>0</v>
      </c>
      <c r="H70" s="753">
        <f>E70*'Emission Factors'!$E$60*0.001</f>
        <v>0</v>
      </c>
      <c r="I70" s="754">
        <f t="shared" si="5"/>
        <v>0</v>
      </c>
      <c r="J70" s="755">
        <f>E70*'Emission Factors'!$G$60*0.001</f>
        <v>0</v>
      </c>
    </row>
    <row r="71" spans="1:18" ht="15" customHeight="1">
      <c r="A71" s="751"/>
      <c r="B71" s="763"/>
      <c r="C71" s="764">
        <f>B71/'Emission Factors'!$B$86</f>
        <v>0</v>
      </c>
      <c r="D71" s="753">
        <f t="shared" si="4"/>
        <v>0</v>
      </c>
      <c r="E71" s="753">
        <f>'Emission Factors'!$B$60*D71</f>
        <v>0</v>
      </c>
      <c r="F71" s="753">
        <f>E71*'Emission Factors'!$C$60*0.001</f>
        <v>0</v>
      </c>
      <c r="G71" s="753">
        <f>E71*'Emission Factors'!$D$60*0.001</f>
        <v>0</v>
      </c>
      <c r="H71" s="753">
        <f>E71*'Emission Factors'!$E$60*0.001</f>
        <v>0</v>
      </c>
      <c r="I71" s="754">
        <f t="shared" si="5"/>
        <v>0</v>
      </c>
      <c r="J71" s="755">
        <f>E71*'Emission Factors'!$G$60*0.001</f>
        <v>0</v>
      </c>
    </row>
    <row r="72" spans="1:18" ht="15" customHeight="1" thickBot="1">
      <c r="A72" s="751"/>
      <c r="B72" s="763"/>
      <c r="C72" s="764">
        <f>B72/'Emission Factors'!$B$86</f>
        <v>0</v>
      </c>
      <c r="D72" s="753">
        <f>C72/1000</f>
        <v>0</v>
      </c>
      <c r="E72" s="753">
        <f>'Emission Factors'!$B$60*D72</f>
        <v>0</v>
      </c>
      <c r="F72" s="753">
        <f>E72*'Emission Factors'!$C$60*0.001</f>
        <v>0</v>
      </c>
      <c r="G72" s="753">
        <f>E72*'Emission Factors'!$D$60*0.001</f>
        <v>0</v>
      </c>
      <c r="H72" s="753">
        <f>E72*'Emission Factors'!$E$60*0.001</f>
        <v>0</v>
      </c>
      <c r="I72" s="754">
        <f t="shared" si="5"/>
        <v>0</v>
      </c>
      <c r="J72" s="755">
        <f>E72*'Emission Factors'!$G$60*0.001</f>
        <v>0</v>
      </c>
    </row>
    <row r="73" spans="1:18" ht="27.75" customHeight="1" thickBot="1">
      <c r="H73" s="760" t="s">
        <v>434</v>
      </c>
      <c r="I73" s="761">
        <f>SUM(I63:I72)</f>
        <v>0</v>
      </c>
      <c r="J73" s="762">
        <f>SUM(J63:J72)</f>
        <v>0</v>
      </c>
    </row>
    <row r="74" spans="1:18" customFormat="1" ht="27.75" customHeight="1"/>
    <row r="75" spans="1:18" s="740" customFormat="1" ht="36">
      <c r="A75" s="1993" t="s">
        <v>477</v>
      </c>
      <c r="B75" s="1994"/>
      <c r="C75" s="1994"/>
      <c r="D75" s="1994"/>
      <c r="E75" s="1994"/>
      <c r="F75" s="1994"/>
      <c r="G75" s="1994"/>
      <c r="H75" s="1994"/>
      <c r="I75" s="1994"/>
      <c r="J75" s="1994"/>
      <c r="K75" s="1994"/>
      <c r="L75" s="1994"/>
      <c r="M75" s="1994"/>
      <c r="N75" s="1994"/>
      <c r="O75" s="1994"/>
      <c r="P75" s="1994"/>
      <c r="Q75" s="1994"/>
      <c r="R75" s="1994"/>
    </row>
    <row r="76" spans="1:18" s="743" customFormat="1" ht="24" thickBot="1">
      <c r="A76" s="2004" t="s">
        <v>478</v>
      </c>
      <c r="B76" s="2005"/>
      <c r="C76" s="2006"/>
      <c r="D76" s="2007" t="s">
        <v>427</v>
      </c>
      <c r="E76" s="2008"/>
      <c r="F76" s="741"/>
      <c r="G76" s="742"/>
      <c r="H76" s="742"/>
      <c r="I76" s="742"/>
      <c r="J76" s="742"/>
      <c r="K76" s="742"/>
      <c r="L76" s="742"/>
      <c r="M76" s="742"/>
      <c r="N76" s="766"/>
      <c r="P76" s="767"/>
    </row>
    <row r="77" spans="1:18" ht="18.75">
      <c r="E77" s="744"/>
      <c r="F77" s="744"/>
      <c r="G77" s="744"/>
      <c r="H77" s="745" t="s">
        <v>62</v>
      </c>
      <c r="I77" s="746" t="s">
        <v>92</v>
      </c>
    </row>
    <row r="78" spans="1:18" ht="110.45" customHeight="1">
      <c r="A78" s="747" t="s">
        <v>428</v>
      </c>
      <c r="B78" s="747" t="s">
        <v>479</v>
      </c>
      <c r="C78" s="748" t="s">
        <v>474</v>
      </c>
      <c r="D78" s="748" t="s">
        <v>448</v>
      </c>
      <c r="E78" s="748" t="s">
        <v>420</v>
      </c>
      <c r="F78" s="748" t="s">
        <v>431</v>
      </c>
      <c r="G78" s="748" t="s">
        <v>432</v>
      </c>
      <c r="H78" s="749" t="s">
        <v>420</v>
      </c>
      <c r="I78" s="750" t="s">
        <v>420</v>
      </c>
    </row>
    <row r="79" spans="1:18">
      <c r="A79" s="751"/>
      <c r="B79" s="770"/>
      <c r="C79" s="753">
        <f t="shared" ref="C79:C87" si="6">B79/1000</f>
        <v>0</v>
      </c>
      <c r="D79" s="753">
        <f>'Emission Factors'!$B$65*C79</f>
        <v>0</v>
      </c>
      <c r="E79" s="753">
        <f>D79*'Emission Factors'!$C$65*0.001</f>
        <v>0</v>
      </c>
      <c r="F79" s="753">
        <f>E79*'Emission Factors'!$D$65*0.001</f>
        <v>0</v>
      </c>
      <c r="G79" s="753">
        <f>F79*'Emission Factors'!$E$65*0.001</f>
        <v>0</v>
      </c>
      <c r="H79" s="754">
        <f t="shared" ref="H79:H88" si="7">E79+F79+G79</f>
        <v>0</v>
      </c>
      <c r="I79" s="755">
        <f>D79*'Emission Factors'!$G$65*0.001</f>
        <v>0</v>
      </c>
    </row>
    <row r="80" spans="1:18">
      <c r="A80" s="751"/>
      <c r="B80" s="770"/>
      <c r="C80" s="753">
        <f t="shared" si="6"/>
        <v>0</v>
      </c>
      <c r="D80" s="753">
        <f>'Emission Factors'!$B$65*C80</f>
        <v>0</v>
      </c>
      <c r="E80" s="753">
        <f>D80*'Emission Factors'!$C$65*0.001</f>
        <v>0</v>
      </c>
      <c r="F80" s="753">
        <f>E80*'Emission Factors'!$D$65*0.001</f>
        <v>0</v>
      </c>
      <c r="G80" s="753">
        <f>F80*'Emission Factors'!$E$65*0.001</f>
        <v>0</v>
      </c>
      <c r="H80" s="754">
        <f t="shared" si="7"/>
        <v>0</v>
      </c>
      <c r="I80" s="755">
        <f>D80*'Emission Factors'!$G$65*0.001</f>
        <v>0</v>
      </c>
    </row>
    <row r="81" spans="1:18">
      <c r="A81" s="751"/>
      <c r="B81" s="770"/>
      <c r="C81" s="753">
        <f t="shared" si="6"/>
        <v>0</v>
      </c>
      <c r="D81" s="753">
        <f>'Emission Factors'!$B$65*C81</f>
        <v>0</v>
      </c>
      <c r="E81" s="753">
        <f>D81*'Emission Factors'!$C$65*0.001</f>
        <v>0</v>
      </c>
      <c r="F81" s="753">
        <f>E81*'Emission Factors'!$D$65*0.001</f>
        <v>0</v>
      </c>
      <c r="G81" s="753">
        <f>F81*'Emission Factors'!$E$65*0.001</f>
        <v>0</v>
      </c>
      <c r="H81" s="754">
        <f t="shared" si="7"/>
        <v>0</v>
      </c>
      <c r="I81" s="755">
        <f>D81*'Emission Factors'!$G$65*0.001</f>
        <v>0</v>
      </c>
    </row>
    <row r="82" spans="1:18">
      <c r="A82" s="751"/>
      <c r="B82" s="770"/>
      <c r="C82" s="753">
        <f t="shared" si="6"/>
        <v>0</v>
      </c>
      <c r="D82" s="753">
        <f>'Emission Factors'!$B$65*C82</f>
        <v>0</v>
      </c>
      <c r="E82" s="753">
        <f>D82*'Emission Factors'!$C$65*0.001</f>
        <v>0</v>
      </c>
      <c r="F82" s="753">
        <f>E82*'Emission Factors'!$D$65*0.001</f>
        <v>0</v>
      </c>
      <c r="G82" s="753">
        <f>F82*'Emission Factors'!$E$65*0.001</f>
        <v>0</v>
      </c>
      <c r="H82" s="754">
        <f t="shared" si="7"/>
        <v>0</v>
      </c>
      <c r="I82" s="755">
        <f>D82*'Emission Factors'!$G$65*0.001</f>
        <v>0</v>
      </c>
    </row>
    <row r="83" spans="1:18">
      <c r="A83" s="751"/>
      <c r="B83" s="770"/>
      <c r="C83" s="753">
        <f t="shared" si="6"/>
        <v>0</v>
      </c>
      <c r="D83" s="753">
        <f>'Emission Factors'!$B$65*C83</f>
        <v>0</v>
      </c>
      <c r="E83" s="753">
        <f>D83*'Emission Factors'!$C$65*0.001</f>
        <v>0</v>
      </c>
      <c r="F83" s="753">
        <f>E83*'Emission Factors'!$D$65*0.001</f>
        <v>0</v>
      </c>
      <c r="G83" s="753">
        <f>F83*'Emission Factors'!$E$65*0.001</f>
        <v>0</v>
      </c>
      <c r="H83" s="754">
        <f t="shared" si="7"/>
        <v>0</v>
      </c>
      <c r="I83" s="755">
        <f>D83*'Emission Factors'!$G$65*0.001</f>
        <v>0</v>
      </c>
    </row>
    <row r="84" spans="1:18">
      <c r="A84" s="751"/>
      <c r="B84" s="770"/>
      <c r="C84" s="753">
        <f t="shared" si="6"/>
        <v>0</v>
      </c>
      <c r="D84" s="753">
        <f>'Emission Factors'!$B$65*C84</f>
        <v>0</v>
      </c>
      <c r="E84" s="753">
        <f>D84*'Emission Factors'!$C$65*0.001</f>
        <v>0</v>
      </c>
      <c r="F84" s="753">
        <f>E84*'Emission Factors'!$D$65*0.001</f>
        <v>0</v>
      </c>
      <c r="G84" s="753">
        <f>F84*'Emission Factors'!$E$65*0.001</f>
        <v>0</v>
      </c>
      <c r="H84" s="754">
        <f t="shared" si="7"/>
        <v>0</v>
      </c>
      <c r="I84" s="755">
        <f>D84*'Emission Factors'!$G$65*0.001</f>
        <v>0</v>
      </c>
    </row>
    <row r="85" spans="1:18">
      <c r="A85" s="751"/>
      <c r="B85" s="770"/>
      <c r="C85" s="753">
        <f t="shared" si="6"/>
        <v>0</v>
      </c>
      <c r="D85" s="753">
        <f>'Emission Factors'!$B$65*C85</f>
        <v>0</v>
      </c>
      <c r="E85" s="753">
        <f>D85*'Emission Factors'!$C$65*0.001</f>
        <v>0</v>
      </c>
      <c r="F85" s="753">
        <f>E85*'Emission Factors'!$D$65*0.001</f>
        <v>0</v>
      </c>
      <c r="G85" s="753">
        <f>F85*'Emission Factors'!$E$65*0.001</f>
        <v>0</v>
      </c>
      <c r="H85" s="754">
        <f t="shared" si="7"/>
        <v>0</v>
      </c>
      <c r="I85" s="755">
        <f>D85*'Emission Factors'!$G$65*0.001</f>
        <v>0</v>
      </c>
    </row>
    <row r="86" spans="1:18">
      <c r="A86" s="751"/>
      <c r="B86" s="770"/>
      <c r="C86" s="753">
        <f t="shared" si="6"/>
        <v>0</v>
      </c>
      <c r="D86" s="753">
        <f>'Emission Factors'!$B$65*C86</f>
        <v>0</v>
      </c>
      <c r="E86" s="753">
        <f>D86*'Emission Factors'!$C$65*0.001</f>
        <v>0</v>
      </c>
      <c r="F86" s="753">
        <f>E86*'Emission Factors'!$D$65*0.001</f>
        <v>0</v>
      </c>
      <c r="G86" s="753">
        <f>F86*'Emission Factors'!$E$65*0.001</f>
        <v>0</v>
      </c>
      <c r="H86" s="754">
        <f t="shared" si="7"/>
        <v>0</v>
      </c>
      <c r="I86" s="755">
        <f>D86*'Emission Factors'!$G$65*0.001</f>
        <v>0</v>
      </c>
    </row>
    <row r="87" spans="1:18">
      <c r="A87" s="751"/>
      <c r="B87" s="770"/>
      <c r="C87" s="753">
        <f t="shared" si="6"/>
        <v>0</v>
      </c>
      <c r="D87" s="753">
        <f>'Emission Factors'!$B$65*C87</f>
        <v>0</v>
      </c>
      <c r="E87" s="753">
        <f>D87*'Emission Factors'!$C$65*0.001</f>
        <v>0</v>
      </c>
      <c r="F87" s="753">
        <f>E87*'Emission Factors'!$D$65*0.001</f>
        <v>0</v>
      </c>
      <c r="G87" s="753">
        <f>F87*'Emission Factors'!$E$65*0.001</f>
        <v>0</v>
      </c>
      <c r="H87" s="754">
        <f t="shared" si="7"/>
        <v>0</v>
      </c>
      <c r="I87" s="755">
        <f>D87*'Emission Factors'!$G$65*0.001</f>
        <v>0</v>
      </c>
    </row>
    <row r="88" spans="1:18" ht="16.5" thickBot="1">
      <c r="A88" s="751"/>
      <c r="B88" s="770"/>
      <c r="C88" s="753">
        <f>B88/1000</f>
        <v>0</v>
      </c>
      <c r="D88" s="753">
        <f>'Emission Factors'!$B$65*C88</f>
        <v>0</v>
      </c>
      <c r="E88" s="753">
        <f>D88*'Emission Factors'!$C$65*0.001</f>
        <v>0</v>
      </c>
      <c r="F88" s="753">
        <f>E88*'Emission Factors'!$D$65*0.001</f>
        <v>0</v>
      </c>
      <c r="G88" s="753">
        <f>F88*'Emission Factors'!$E$65*0.001</f>
        <v>0</v>
      </c>
      <c r="H88" s="771">
        <f t="shared" si="7"/>
        <v>0</v>
      </c>
      <c r="I88" s="755">
        <f>D88*'Emission Factors'!$G$65*0.001</f>
        <v>0</v>
      </c>
    </row>
    <row r="89" spans="1:18" ht="24" thickBot="1">
      <c r="A89" s="758" t="s">
        <v>435</v>
      </c>
      <c r="G89" s="760" t="s">
        <v>434</v>
      </c>
      <c r="H89" s="761">
        <f>SUM(H79:H88)</f>
        <v>0</v>
      </c>
      <c r="I89" s="762">
        <f>SUM(I79:I88)</f>
        <v>0</v>
      </c>
    </row>
    <row r="90" spans="1:18" s="740" customFormat="1" ht="36">
      <c r="A90" s="2004" t="s">
        <v>480</v>
      </c>
      <c r="B90" s="2005"/>
      <c r="C90" s="2006"/>
    </row>
    <row r="91" spans="1:18" s="743" customFormat="1" ht="23.45" customHeight="1" thickBot="1">
      <c r="A91" s="2004" t="s">
        <v>481</v>
      </c>
      <c r="B91" s="2005"/>
      <c r="C91" s="2006"/>
      <c r="D91" s="2007" t="s">
        <v>427</v>
      </c>
      <c r="E91" s="2008"/>
      <c r="F91" s="741"/>
      <c r="G91" s="742"/>
      <c r="H91" s="742"/>
      <c r="I91" s="742"/>
      <c r="J91" s="742"/>
      <c r="K91" s="742"/>
      <c r="L91" s="742"/>
      <c r="M91" s="742"/>
      <c r="P91" s="766"/>
      <c r="R91" s="767"/>
    </row>
    <row r="92" spans="1:18" ht="18.75">
      <c r="E92" s="744"/>
      <c r="F92" s="744"/>
      <c r="G92" s="744"/>
      <c r="H92" s="745" t="s">
        <v>62</v>
      </c>
      <c r="I92" s="746" t="s">
        <v>92</v>
      </c>
    </row>
    <row r="93" spans="1:18" ht="110.45" customHeight="1">
      <c r="A93" s="747" t="s">
        <v>428</v>
      </c>
      <c r="B93" s="747" t="s">
        <v>463</v>
      </c>
      <c r="C93" s="747" t="s">
        <v>482</v>
      </c>
      <c r="D93" s="748" t="s">
        <v>448</v>
      </c>
      <c r="E93" s="748" t="s">
        <v>420</v>
      </c>
      <c r="F93" s="748" t="s">
        <v>431</v>
      </c>
      <c r="G93" s="748" t="s">
        <v>432</v>
      </c>
      <c r="H93" s="749" t="s">
        <v>420</v>
      </c>
      <c r="I93" s="750" t="s">
        <v>420</v>
      </c>
    </row>
    <row r="94" spans="1:18">
      <c r="A94" s="751"/>
      <c r="B94" s="768"/>
      <c r="C94" s="753">
        <f>(B94/'Emission Factors'!$F$87)/1000</f>
        <v>0</v>
      </c>
      <c r="D94" s="753">
        <f>'Emission Factors'!$B$65*C94</f>
        <v>0</v>
      </c>
      <c r="E94" s="753">
        <f>D94*'Emission Factors'!$C$65*0.001</f>
        <v>0</v>
      </c>
      <c r="F94" s="753">
        <f>E94*'Emission Factors'!$D$65*0.001</f>
        <v>0</v>
      </c>
      <c r="G94" s="753">
        <f>F94*'Emission Factors'!$E$65*0.001</f>
        <v>0</v>
      </c>
      <c r="H94" s="754">
        <f t="shared" ref="H94:H103" si="8">E94+F94+G94</f>
        <v>0</v>
      </c>
      <c r="I94" s="755">
        <f>D94*'Emission Factors'!$G$65*0.001</f>
        <v>0</v>
      </c>
    </row>
    <row r="95" spans="1:18">
      <c r="A95" s="751"/>
      <c r="B95" s="768"/>
      <c r="C95" s="753">
        <f>(B95/'Emission Factors'!$F$87)/1000</f>
        <v>0</v>
      </c>
      <c r="D95" s="753">
        <f>'Emission Factors'!$B$65*C95</f>
        <v>0</v>
      </c>
      <c r="E95" s="753">
        <f>D95*'Emission Factors'!$C$65*0.001</f>
        <v>0</v>
      </c>
      <c r="F95" s="753">
        <f>E95*'Emission Factors'!$D$65*0.001</f>
        <v>0</v>
      </c>
      <c r="G95" s="753">
        <f>F95*'Emission Factors'!$E$65*0.001</f>
        <v>0</v>
      </c>
      <c r="H95" s="754">
        <f t="shared" si="8"/>
        <v>0</v>
      </c>
      <c r="I95" s="755">
        <f>D95*'Emission Factors'!$G$65*0.001</f>
        <v>0</v>
      </c>
    </row>
    <row r="96" spans="1:18">
      <c r="A96" s="751"/>
      <c r="B96" s="768"/>
      <c r="C96" s="753">
        <f>(B96/'Emission Factors'!$F$87)/1000</f>
        <v>0</v>
      </c>
      <c r="D96" s="753">
        <f>'Emission Factors'!$B$65*C96</f>
        <v>0</v>
      </c>
      <c r="E96" s="753">
        <f>D96*'Emission Factors'!$C$65*0.001</f>
        <v>0</v>
      </c>
      <c r="F96" s="753">
        <f>E96*'Emission Factors'!$D$65*0.001</f>
        <v>0</v>
      </c>
      <c r="G96" s="753">
        <f>F96*'Emission Factors'!$E$65*0.001</f>
        <v>0</v>
      </c>
      <c r="H96" s="754">
        <f t="shared" si="8"/>
        <v>0</v>
      </c>
      <c r="I96" s="755">
        <f>D96*'Emission Factors'!$G$65*0.001</f>
        <v>0</v>
      </c>
    </row>
    <row r="97" spans="1:18">
      <c r="A97" s="751"/>
      <c r="B97" s="768"/>
      <c r="C97" s="753">
        <f>(B97/'Emission Factors'!$F$87)/1000</f>
        <v>0</v>
      </c>
      <c r="D97" s="753">
        <f>'Emission Factors'!$B$65*C97</f>
        <v>0</v>
      </c>
      <c r="E97" s="753">
        <f>D97*'Emission Factors'!$C$65*0.001</f>
        <v>0</v>
      </c>
      <c r="F97" s="753">
        <f>E97*'Emission Factors'!$D$65*0.001</f>
        <v>0</v>
      </c>
      <c r="G97" s="753">
        <f>F97*'Emission Factors'!$E$65*0.001</f>
        <v>0</v>
      </c>
      <c r="H97" s="754">
        <f t="shared" si="8"/>
        <v>0</v>
      </c>
      <c r="I97" s="755">
        <f>D97*'Emission Factors'!$G$65*0.001</f>
        <v>0</v>
      </c>
    </row>
    <row r="98" spans="1:18">
      <c r="A98" s="751"/>
      <c r="B98" s="768"/>
      <c r="C98" s="753">
        <f>(B98/'Emission Factors'!$F$87)/1000</f>
        <v>0</v>
      </c>
      <c r="D98" s="753">
        <f>'Emission Factors'!$B$65*C98</f>
        <v>0</v>
      </c>
      <c r="E98" s="753">
        <f>D98*'Emission Factors'!$C$65*0.001</f>
        <v>0</v>
      </c>
      <c r="F98" s="753">
        <f>E98*'Emission Factors'!$D$65*0.001</f>
        <v>0</v>
      </c>
      <c r="G98" s="753">
        <f>F98*'Emission Factors'!$E$65*0.001</f>
        <v>0</v>
      </c>
      <c r="H98" s="754">
        <f t="shared" si="8"/>
        <v>0</v>
      </c>
      <c r="I98" s="755">
        <f>D98*'Emission Factors'!$G$65*0.001</f>
        <v>0</v>
      </c>
    </row>
    <row r="99" spans="1:18">
      <c r="A99" s="751"/>
      <c r="B99" s="768"/>
      <c r="C99" s="753">
        <f>(B99/'Emission Factors'!$F$87)/1000</f>
        <v>0</v>
      </c>
      <c r="D99" s="753">
        <f>'Emission Factors'!$B$65*C99</f>
        <v>0</v>
      </c>
      <c r="E99" s="753">
        <f>D99*'Emission Factors'!$C$65*0.001</f>
        <v>0</v>
      </c>
      <c r="F99" s="753">
        <f>E99*'Emission Factors'!$D$65*0.001</f>
        <v>0</v>
      </c>
      <c r="G99" s="753">
        <f>F99*'Emission Factors'!$E$65*0.001</f>
        <v>0</v>
      </c>
      <c r="H99" s="754">
        <f t="shared" si="8"/>
        <v>0</v>
      </c>
      <c r="I99" s="755">
        <f>D99*'Emission Factors'!$G$65*0.001</f>
        <v>0</v>
      </c>
    </row>
    <row r="100" spans="1:18">
      <c r="A100" s="751"/>
      <c r="B100" s="768"/>
      <c r="C100" s="753">
        <f>(B100/'Emission Factors'!$F$87)/1000</f>
        <v>0</v>
      </c>
      <c r="D100" s="753">
        <f>'Emission Factors'!$B$65*C100</f>
        <v>0</v>
      </c>
      <c r="E100" s="753">
        <f>D100*'Emission Factors'!$C$65*0.001</f>
        <v>0</v>
      </c>
      <c r="F100" s="753">
        <f>E100*'Emission Factors'!$D$65*0.001</f>
        <v>0</v>
      </c>
      <c r="G100" s="753">
        <f>F100*'Emission Factors'!$E$65*0.001</f>
        <v>0</v>
      </c>
      <c r="H100" s="754">
        <f t="shared" si="8"/>
        <v>0</v>
      </c>
      <c r="I100" s="755">
        <f>D100*'Emission Factors'!$G$65*0.001</f>
        <v>0</v>
      </c>
    </row>
    <row r="101" spans="1:18">
      <c r="A101" s="751"/>
      <c r="B101" s="768"/>
      <c r="C101" s="753">
        <f>(B101/'Emission Factors'!$F$87)/1000</f>
        <v>0</v>
      </c>
      <c r="D101" s="753">
        <f>'Emission Factors'!$B$65*C101</f>
        <v>0</v>
      </c>
      <c r="E101" s="753">
        <f>D101*'Emission Factors'!$C$65*0.001</f>
        <v>0</v>
      </c>
      <c r="F101" s="753">
        <f>E101*'Emission Factors'!$D$65*0.001</f>
        <v>0</v>
      </c>
      <c r="G101" s="753">
        <f>F101*'Emission Factors'!$E$65*0.001</f>
        <v>0</v>
      </c>
      <c r="H101" s="754">
        <f t="shared" si="8"/>
        <v>0</v>
      </c>
      <c r="I101" s="755">
        <f>D101*'Emission Factors'!$G$65*0.001</f>
        <v>0</v>
      </c>
    </row>
    <row r="102" spans="1:18">
      <c r="A102" s="751"/>
      <c r="B102" s="768"/>
      <c r="C102" s="753">
        <f>(B102/'Emission Factors'!$F$87)/1000</f>
        <v>0</v>
      </c>
      <c r="D102" s="753">
        <f>'Emission Factors'!$B$65*C102</f>
        <v>0</v>
      </c>
      <c r="E102" s="753">
        <f>D102*'Emission Factors'!$C$65*0.001</f>
        <v>0</v>
      </c>
      <c r="F102" s="753">
        <f>E102*'Emission Factors'!$D$65*0.001</f>
        <v>0</v>
      </c>
      <c r="G102" s="753">
        <f>F102*'Emission Factors'!$E$65*0.001</f>
        <v>0</v>
      </c>
      <c r="H102" s="754">
        <f t="shared" si="8"/>
        <v>0</v>
      </c>
      <c r="I102" s="755">
        <f>D102*'Emission Factors'!$G$65*0.001</f>
        <v>0</v>
      </c>
    </row>
    <row r="103" spans="1:18" ht="16.5" thickBot="1">
      <c r="A103" s="751"/>
      <c r="B103" s="768"/>
      <c r="C103" s="753">
        <f>(B103/'Emission Factors'!$F$87)/1000</f>
        <v>0</v>
      </c>
      <c r="D103" s="753">
        <f>'Emission Factors'!$B$65*C103</f>
        <v>0</v>
      </c>
      <c r="E103" s="753">
        <f>D103*'Emission Factors'!$C$65*0.001</f>
        <v>0</v>
      </c>
      <c r="F103" s="753">
        <f>E103*'Emission Factors'!$D$65*0.001</f>
        <v>0</v>
      </c>
      <c r="G103" s="753">
        <f>F103*'Emission Factors'!$E$65*0.001</f>
        <v>0</v>
      </c>
      <c r="H103" s="771">
        <f t="shared" si="8"/>
        <v>0</v>
      </c>
      <c r="I103" s="755">
        <f>D103*'Emission Factors'!$G$65*0.001</f>
        <v>0</v>
      </c>
    </row>
    <row r="104" spans="1:18" s="743" customFormat="1" ht="24" thickBot="1">
      <c r="D104" s="759"/>
      <c r="E104" s="742"/>
      <c r="F104" s="759"/>
      <c r="G104" s="760" t="s">
        <v>434</v>
      </c>
      <c r="H104" s="761">
        <f>SUM(H94:H103)</f>
        <v>0</v>
      </c>
      <c r="I104" s="762">
        <f>SUM(I94:I103)</f>
        <v>0</v>
      </c>
      <c r="J104" s="742"/>
      <c r="K104" s="742"/>
      <c r="L104" s="742"/>
      <c r="M104" s="742"/>
      <c r="N104" s="742"/>
      <c r="O104" s="759"/>
    </row>
    <row r="105" spans="1:18" s="743" customFormat="1" ht="23.45" customHeight="1" thickBot="1">
      <c r="A105" s="2004" t="s">
        <v>483</v>
      </c>
      <c r="B105" s="2005"/>
      <c r="C105" s="2006"/>
      <c r="D105" s="2007" t="s">
        <v>427</v>
      </c>
      <c r="E105" s="2008"/>
      <c r="F105" s="741"/>
      <c r="G105" s="742"/>
      <c r="H105" s="742"/>
      <c r="I105" s="742"/>
      <c r="J105" s="742"/>
      <c r="K105" s="742"/>
      <c r="L105" s="742"/>
      <c r="M105" s="742"/>
      <c r="P105" s="766"/>
      <c r="R105" s="767"/>
    </row>
    <row r="106" spans="1:18" ht="18.75">
      <c r="E106" s="744"/>
      <c r="F106" s="744"/>
      <c r="G106" s="744"/>
      <c r="H106" s="745" t="s">
        <v>62</v>
      </c>
      <c r="I106" s="746" t="s">
        <v>92</v>
      </c>
    </row>
    <row r="107" spans="1:18" ht="110.45" customHeight="1">
      <c r="A107" s="747" t="s">
        <v>428</v>
      </c>
      <c r="B107" s="747" t="s">
        <v>463</v>
      </c>
      <c r="C107" s="747" t="s">
        <v>482</v>
      </c>
      <c r="D107" s="748" t="s">
        <v>448</v>
      </c>
      <c r="E107" s="748" t="s">
        <v>420</v>
      </c>
      <c r="F107" s="748" t="s">
        <v>431</v>
      </c>
      <c r="G107" s="748" t="s">
        <v>432</v>
      </c>
      <c r="H107" s="749" t="s">
        <v>420</v>
      </c>
      <c r="I107" s="750" t="s">
        <v>420</v>
      </c>
    </row>
    <row r="108" spans="1:18">
      <c r="A108" s="751"/>
      <c r="B108" s="768"/>
      <c r="C108" s="753">
        <f>(B108/'Emission Factors'!$F$88)/1000</f>
        <v>0</v>
      </c>
      <c r="D108" s="753">
        <f>'Emission Factors'!$B$65*C108</f>
        <v>0</v>
      </c>
      <c r="E108" s="753">
        <f>D108*'Emission Factors'!$C$65*0.001</f>
        <v>0</v>
      </c>
      <c r="F108" s="753">
        <f>E108*'Emission Factors'!$D$65*0.001</f>
        <v>0</v>
      </c>
      <c r="G108" s="753">
        <f>F108*'Emission Factors'!$E$65*0.001</f>
        <v>0</v>
      </c>
      <c r="H108" s="754">
        <f t="shared" ref="H108:H117" si="9">E108+F108+G108</f>
        <v>0</v>
      </c>
      <c r="I108" s="755">
        <f>D108*'Emission Factors'!$G$65*0.001</f>
        <v>0</v>
      </c>
    </row>
    <row r="109" spans="1:18">
      <c r="A109" s="751"/>
      <c r="B109" s="768"/>
      <c r="C109" s="753">
        <f>(B109/'Emission Factors'!$F$88)/1000</f>
        <v>0</v>
      </c>
      <c r="D109" s="753">
        <f>'Emission Factors'!$B$65*C109</f>
        <v>0</v>
      </c>
      <c r="E109" s="753">
        <f>D109*'Emission Factors'!$C$65*0.001</f>
        <v>0</v>
      </c>
      <c r="F109" s="753">
        <f>E109*'Emission Factors'!$D$65*0.001</f>
        <v>0</v>
      </c>
      <c r="G109" s="753">
        <f>F109*'Emission Factors'!$E$65*0.001</f>
        <v>0</v>
      </c>
      <c r="H109" s="754">
        <f t="shared" si="9"/>
        <v>0</v>
      </c>
      <c r="I109" s="755">
        <f>D109*'Emission Factors'!$G$65*0.001</f>
        <v>0</v>
      </c>
    </row>
    <row r="110" spans="1:18">
      <c r="A110" s="751"/>
      <c r="B110" s="768"/>
      <c r="C110" s="753">
        <f>(B110/'Emission Factors'!$F$88)/1000</f>
        <v>0</v>
      </c>
      <c r="D110" s="753">
        <f>'Emission Factors'!$B$65*C110</f>
        <v>0</v>
      </c>
      <c r="E110" s="753">
        <f>D110*'Emission Factors'!$C$65*0.001</f>
        <v>0</v>
      </c>
      <c r="F110" s="753">
        <f>E110*'Emission Factors'!$D$65*0.001</f>
        <v>0</v>
      </c>
      <c r="G110" s="753">
        <f>F110*'Emission Factors'!$E$65*0.001</f>
        <v>0</v>
      </c>
      <c r="H110" s="754">
        <f t="shared" si="9"/>
        <v>0</v>
      </c>
      <c r="I110" s="755">
        <f>D110*'Emission Factors'!$G$65*0.001</f>
        <v>0</v>
      </c>
    </row>
    <row r="111" spans="1:18">
      <c r="A111" s="751"/>
      <c r="B111" s="768"/>
      <c r="C111" s="753">
        <f>(B111/'Emission Factors'!$F$88)/1000</f>
        <v>0</v>
      </c>
      <c r="D111" s="753">
        <f>'Emission Factors'!$B$65*C111</f>
        <v>0</v>
      </c>
      <c r="E111" s="753">
        <f>D111*'Emission Factors'!$C$65*0.001</f>
        <v>0</v>
      </c>
      <c r="F111" s="753">
        <f>E111*'Emission Factors'!$D$65*0.001</f>
        <v>0</v>
      </c>
      <c r="G111" s="753">
        <f>F111*'Emission Factors'!$E$65*0.001</f>
        <v>0</v>
      </c>
      <c r="H111" s="754">
        <f t="shared" si="9"/>
        <v>0</v>
      </c>
      <c r="I111" s="755">
        <f>D111*'Emission Factors'!$G$65*0.001</f>
        <v>0</v>
      </c>
    </row>
    <row r="112" spans="1:18">
      <c r="A112" s="751"/>
      <c r="B112" s="768"/>
      <c r="C112" s="753">
        <f>(B112/'Emission Factors'!$F$88)/1000</f>
        <v>0</v>
      </c>
      <c r="D112" s="753">
        <f>'Emission Factors'!$B$65*C112</f>
        <v>0</v>
      </c>
      <c r="E112" s="753">
        <f>D112*'Emission Factors'!$C$65*0.001</f>
        <v>0</v>
      </c>
      <c r="F112" s="753">
        <f>E112*'Emission Factors'!$D$65*0.001</f>
        <v>0</v>
      </c>
      <c r="G112" s="753">
        <f>F112*'Emission Factors'!$E$65*0.001</f>
        <v>0</v>
      </c>
      <c r="H112" s="754">
        <f t="shared" si="9"/>
        <v>0</v>
      </c>
      <c r="I112" s="755">
        <f>D112*'Emission Factors'!$G$65*0.001</f>
        <v>0</v>
      </c>
    </row>
    <row r="113" spans="1:17">
      <c r="A113" s="751"/>
      <c r="B113" s="768"/>
      <c r="C113" s="753">
        <f>(B113/'Emission Factors'!$F$88)/1000</f>
        <v>0</v>
      </c>
      <c r="D113" s="753">
        <f>'Emission Factors'!$B$65*C113</f>
        <v>0</v>
      </c>
      <c r="E113" s="753">
        <f>D113*'Emission Factors'!$C$65*0.001</f>
        <v>0</v>
      </c>
      <c r="F113" s="753">
        <f>E113*'Emission Factors'!$D$65*0.001</f>
        <v>0</v>
      </c>
      <c r="G113" s="753">
        <f>F113*'Emission Factors'!$E$65*0.001</f>
        <v>0</v>
      </c>
      <c r="H113" s="754">
        <f t="shared" si="9"/>
        <v>0</v>
      </c>
      <c r="I113" s="755">
        <f>D113*'Emission Factors'!$G$65*0.001</f>
        <v>0</v>
      </c>
    </row>
    <row r="114" spans="1:17">
      <c r="A114" s="751"/>
      <c r="B114" s="768"/>
      <c r="C114" s="753">
        <f>(B114/'Emission Factors'!$F$88)/1000</f>
        <v>0</v>
      </c>
      <c r="D114" s="753">
        <f>'Emission Factors'!$B$65*C114</f>
        <v>0</v>
      </c>
      <c r="E114" s="753">
        <f>D114*'Emission Factors'!$C$65*0.001</f>
        <v>0</v>
      </c>
      <c r="F114" s="753">
        <f>E114*'Emission Factors'!$D$65*0.001</f>
        <v>0</v>
      </c>
      <c r="G114" s="753">
        <f>F114*'Emission Factors'!$E$65*0.001</f>
        <v>0</v>
      </c>
      <c r="H114" s="754">
        <f t="shared" si="9"/>
        <v>0</v>
      </c>
      <c r="I114" s="755">
        <f>D114*'Emission Factors'!$G$65*0.001</f>
        <v>0</v>
      </c>
    </row>
    <row r="115" spans="1:17">
      <c r="A115" s="751"/>
      <c r="B115" s="768"/>
      <c r="C115" s="753">
        <f>(B115/'Emission Factors'!$F$88)/1000</f>
        <v>0</v>
      </c>
      <c r="D115" s="753">
        <f>'Emission Factors'!$B$65*C115</f>
        <v>0</v>
      </c>
      <c r="E115" s="753">
        <f>D115*'Emission Factors'!$C$65*0.001</f>
        <v>0</v>
      </c>
      <c r="F115" s="753">
        <f>E115*'Emission Factors'!$D$65*0.001</f>
        <v>0</v>
      </c>
      <c r="G115" s="753">
        <f>F115*'Emission Factors'!$E$65*0.001</f>
        <v>0</v>
      </c>
      <c r="H115" s="754">
        <f t="shared" si="9"/>
        <v>0</v>
      </c>
      <c r="I115" s="755">
        <f>D115*'Emission Factors'!$G$65*0.001</f>
        <v>0</v>
      </c>
    </row>
    <row r="116" spans="1:17">
      <c r="A116" s="751"/>
      <c r="B116" s="768"/>
      <c r="C116" s="753">
        <f>(B116/'Emission Factors'!$F$88)/1000</f>
        <v>0</v>
      </c>
      <c r="D116" s="753">
        <f>'Emission Factors'!$B$65*C116</f>
        <v>0</v>
      </c>
      <c r="E116" s="753">
        <f>D116*'Emission Factors'!$C$65*0.001</f>
        <v>0</v>
      </c>
      <c r="F116" s="753">
        <f>E116*'Emission Factors'!$D$65*0.001</f>
        <v>0</v>
      </c>
      <c r="G116" s="753">
        <f>F116*'Emission Factors'!$E$65*0.001</f>
        <v>0</v>
      </c>
      <c r="H116" s="754">
        <f t="shared" si="9"/>
        <v>0</v>
      </c>
      <c r="I116" s="755">
        <f>D116*'Emission Factors'!$G$65*0.001</f>
        <v>0</v>
      </c>
    </row>
    <row r="117" spans="1:17" ht="16.5" thickBot="1">
      <c r="A117" s="751"/>
      <c r="B117" s="768"/>
      <c r="C117" s="753">
        <f>(B117/'Emission Factors'!$F$88)/1000</f>
        <v>0</v>
      </c>
      <c r="D117" s="753">
        <f>'Emission Factors'!$B$65*C117</f>
        <v>0</v>
      </c>
      <c r="E117" s="753">
        <f>D117*'Emission Factors'!$C$65*0.001</f>
        <v>0</v>
      </c>
      <c r="F117" s="753">
        <f>E117*'Emission Factors'!$D$65*0.001</f>
        <v>0</v>
      </c>
      <c r="G117" s="753">
        <f>F117*'Emission Factors'!$E$65*0.001</f>
        <v>0</v>
      </c>
      <c r="H117" s="771">
        <f t="shared" si="9"/>
        <v>0</v>
      </c>
      <c r="I117" s="755">
        <f>D117*'Emission Factors'!$G$65*0.001</f>
        <v>0</v>
      </c>
    </row>
    <row r="118" spans="1:17" ht="24" thickBot="1">
      <c r="A118" s="769"/>
      <c r="D118" s="759"/>
      <c r="E118" s="742"/>
      <c r="F118" s="759"/>
      <c r="G118" s="760" t="s">
        <v>434</v>
      </c>
      <c r="H118" s="761">
        <f>SUM(H108:H117)</f>
        <v>0</v>
      </c>
      <c r="I118" s="762">
        <f>SUM(I108:I117)</f>
        <v>0</v>
      </c>
      <c r="J118" s="742"/>
      <c r="K118" s="742"/>
      <c r="L118" s="742"/>
      <c r="M118" s="742"/>
      <c r="N118" s="742"/>
      <c r="O118" s="759"/>
      <c r="P118" s="743"/>
    </row>
    <row r="120" spans="1:17" s="743" customFormat="1" ht="23.25">
      <c r="A120" s="758" t="s">
        <v>435</v>
      </c>
      <c r="B120" s="759"/>
      <c r="C120" s="759"/>
      <c r="D120" s="759"/>
      <c r="E120" s="742"/>
      <c r="F120" s="759"/>
      <c r="J120" s="742"/>
      <c r="K120" s="742"/>
      <c r="L120" s="742"/>
      <c r="M120" s="742"/>
      <c r="N120" s="742"/>
      <c r="O120" s="759"/>
    </row>
    <row r="121" spans="1:17" s="743" customFormat="1" ht="23.45" customHeight="1" thickBot="1">
      <c r="A121" s="2004" t="s">
        <v>484</v>
      </c>
      <c r="B121" s="2005"/>
      <c r="C121" s="2006"/>
      <c r="D121" s="2007" t="s">
        <v>427</v>
      </c>
      <c r="E121" s="2008"/>
      <c r="F121" s="741"/>
      <c r="G121" s="742"/>
      <c r="H121" s="742"/>
      <c r="I121" s="742"/>
      <c r="J121" s="742"/>
      <c r="K121" s="742"/>
      <c r="L121" s="742"/>
      <c r="M121" s="742"/>
      <c r="O121" s="766"/>
      <c r="Q121" s="767"/>
    </row>
    <row r="122" spans="1:17" ht="18.75">
      <c r="E122" s="744"/>
      <c r="F122" s="744"/>
      <c r="G122" s="744"/>
      <c r="H122" s="745" t="s">
        <v>62</v>
      </c>
      <c r="I122" s="746" t="s">
        <v>92</v>
      </c>
    </row>
    <row r="123" spans="1:17" ht="110.45" customHeight="1">
      <c r="A123" s="747" t="s">
        <v>428</v>
      </c>
      <c r="B123" s="747" t="s">
        <v>442</v>
      </c>
      <c r="C123" s="747" t="s">
        <v>485</v>
      </c>
      <c r="D123" s="748" t="s">
        <v>448</v>
      </c>
      <c r="E123" s="748" t="s">
        <v>420</v>
      </c>
      <c r="F123" s="748" t="s">
        <v>431</v>
      </c>
      <c r="G123" s="748" t="s">
        <v>432</v>
      </c>
      <c r="H123" s="749" t="s">
        <v>420</v>
      </c>
      <c r="I123" s="750" t="s">
        <v>420</v>
      </c>
    </row>
    <row r="124" spans="1:17">
      <c r="A124" s="751"/>
      <c r="B124" s="763"/>
      <c r="C124" s="764">
        <f>(B124/'Emission Factors'!$B$87)/1000</f>
        <v>0</v>
      </c>
      <c r="D124" s="753">
        <f>'Emission Factors'!$B$65*C124</f>
        <v>0</v>
      </c>
      <c r="E124" s="753">
        <f>D124*'Emission Factors'!$C$65*0.001</f>
        <v>0</v>
      </c>
      <c r="F124" s="753">
        <f>E124*'Emission Factors'!$D$65*0.001</f>
        <v>0</v>
      </c>
      <c r="G124" s="753">
        <f>F124*'Emission Factors'!$E$65*0.001</f>
        <v>0</v>
      </c>
      <c r="H124" s="754">
        <f t="shared" ref="H124:H133" si="10">E124+F124+G124</f>
        <v>0</v>
      </c>
      <c r="I124" s="755">
        <f>D124*'Emission Factors'!$G$65*0.001</f>
        <v>0</v>
      </c>
    </row>
    <row r="125" spans="1:17">
      <c r="A125" s="751"/>
      <c r="B125" s="763"/>
      <c r="C125" s="764">
        <f>(B125/'Emission Factors'!$B$87)/1000</f>
        <v>0</v>
      </c>
      <c r="D125" s="753">
        <f>'Emission Factors'!$B$65*C125</f>
        <v>0</v>
      </c>
      <c r="E125" s="753">
        <f>D125*'Emission Factors'!$C$65*0.001</f>
        <v>0</v>
      </c>
      <c r="F125" s="753">
        <f>E125*'Emission Factors'!$D$65*0.001</f>
        <v>0</v>
      </c>
      <c r="G125" s="753">
        <f>F125*'Emission Factors'!$E$65*0.001</f>
        <v>0</v>
      </c>
      <c r="H125" s="754">
        <f t="shared" si="10"/>
        <v>0</v>
      </c>
      <c r="I125" s="755">
        <f>D125*'Emission Factors'!$G$65*0.001</f>
        <v>0</v>
      </c>
    </row>
    <row r="126" spans="1:17">
      <c r="A126" s="751"/>
      <c r="B126" s="763"/>
      <c r="C126" s="764">
        <f>(B126/'Emission Factors'!$B$87)/1000</f>
        <v>0</v>
      </c>
      <c r="D126" s="753">
        <f>'Emission Factors'!$B$65*C126</f>
        <v>0</v>
      </c>
      <c r="E126" s="753">
        <f>D126*'Emission Factors'!$C$65*0.001</f>
        <v>0</v>
      </c>
      <c r="F126" s="753">
        <f>E126*'Emission Factors'!$D$65*0.001</f>
        <v>0</v>
      </c>
      <c r="G126" s="753">
        <f>F126*'Emission Factors'!$E$65*0.001</f>
        <v>0</v>
      </c>
      <c r="H126" s="754">
        <f t="shared" si="10"/>
        <v>0</v>
      </c>
      <c r="I126" s="755">
        <f>D126*'Emission Factors'!$G$65*0.001</f>
        <v>0</v>
      </c>
    </row>
    <row r="127" spans="1:17">
      <c r="A127" s="751"/>
      <c r="B127" s="763"/>
      <c r="C127" s="764">
        <f>(B127/'Emission Factors'!$B$87)/1000</f>
        <v>0</v>
      </c>
      <c r="D127" s="753">
        <f>'Emission Factors'!$B$65*C127</f>
        <v>0</v>
      </c>
      <c r="E127" s="753">
        <f>D127*'Emission Factors'!$C$65*0.001</f>
        <v>0</v>
      </c>
      <c r="F127" s="753">
        <f>E127*'Emission Factors'!$D$65*0.001</f>
        <v>0</v>
      </c>
      <c r="G127" s="753">
        <f>F127*'Emission Factors'!$E$65*0.001</f>
        <v>0</v>
      </c>
      <c r="H127" s="754">
        <f t="shared" si="10"/>
        <v>0</v>
      </c>
      <c r="I127" s="755">
        <f>D127*'Emission Factors'!$G$65*0.001</f>
        <v>0</v>
      </c>
    </row>
    <row r="128" spans="1:17">
      <c r="A128" s="751"/>
      <c r="B128" s="763"/>
      <c r="C128" s="764">
        <f>(B128/'Emission Factors'!$B$87)/1000</f>
        <v>0</v>
      </c>
      <c r="D128" s="753">
        <f>'Emission Factors'!$B$65*C128</f>
        <v>0</v>
      </c>
      <c r="E128" s="753">
        <f>D128*'Emission Factors'!$C$65*0.001</f>
        <v>0</v>
      </c>
      <c r="F128" s="753">
        <f>E128*'Emission Factors'!$D$65*0.001</f>
        <v>0</v>
      </c>
      <c r="G128" s="753">
        <f>F128*'Emission Factors'!$E$65*0.001</f>
        <v>0</v>
      </c>
      <c r="H128" s="754">
        <f t="shared" si="10"/>
        <v>0</v>
      </c>
      <c r="I128" s="755">
        <f>D128*'Emission Factors'!$G$65*0.001</f>
        <v>0</v>
      </c>
    </row>
    <row r="129" spans="1:18">
      <c r="A129" s="751"/>
      <c r="B129" s="763"/>
      <c r="C129" s="764">
        <f>(B129/'Emission Factors'!$B$87)/1000</f>
        <v>0</v>
      </c>
      <c r="D129" s="753">
        <f>'Emission Factors'!$B$65*C129</f>
        <v>0</v>
      </c>
      <c r="E129" s="753">
        <f>D129*'Emission Factors'!$C$65*0.001</f>
        <v>0</v>
      </c>
      <c r="F129" s="753">
        <f>E129*'Emission Factors'!$D$65*0.001</f>
        <v>0</v>
      </c>
      <c r="G129" s="753">
        <f>F129*'Emission Factors'!$E$65*0.001</f>
        <v>0</v>
      </c>
      <c r="H129" s="754">
        <f t="shared" si="10"/>
        <v>0</v>
      </c>
      <c r="I129" s="755">
        <f>D129*'Emission Factors'!$G$65*0.001</f>
        <v>0</v>
      </c>
    </row>
    <row r="130" spans="1:18">
      <c r="A130" s="751"/>
      <c r="B130" s="763"/>
      <c r="C130" s="764">
        <f>(B130/'Emission Factors'!$B$87)/1000</f>
        <v>0</v>
      </c>
      <c r="D130" s="753">
        <f>'Emission Factors'!$B$65*C130</f>
        <v>0</v>
      </c>
      <c r="E130" s="753">
        <f>D130*'Emission Factors'!$C$65*0.001</f>
        <v>0</v>
      </c>
      <c r="F130" s="753">
        <f>E130*'Emission Factors'!$D$65*0.001</f>
        <v>0</v>
      </c>
      <c r="G130" s="753">
        <f>F130*'Emission Factors'!$E$65*0.001</f>
        <v>0</v>
      </c>
      <c r="H130" s="754">
        <f t="shared" si="10"/>
        <v>0</v>
      </c>
      <c r="I130" s="755">
        <f>D130*'Emission Factors'!$G$65*0.001</f>
        <v>0</v>
      </c>
    </row>
    <row r="131" spans="1:18">
      <c r="A131" s="751"/>
      <c r="B131" s="763"/>
      <c r="C131" s="764">
        <f>(B131/'Emission Factors'!$B$87)/1000</f>
        <v>0</v>
      </c>
      <c r="D131" s="753">
        <f>'Emission Factors'!$B$65*C131</f>
        <v>0</v>
      </c>
      <c r="E131" s="753">
        <f>D131*'Emission Factors'!$C$65*0.001</f>
        <v>0</v>
      </c>
      <c r="F131" s="753">
        <f>E131*'Emission Factors'!$D$65*0.001</f>
        <v>0</v>
      </c>
      <c r="G131" s="753">
        <f>F131*'Emission Factors'!$E$65*0.001</f>
        <v>0</v>
      </c>
      <c r="H131" s="754">
        <f t="shared" si="10"/>
        <v>0</v>
      </c>
      <c r="I131" s="755">
        <f>D131*'Emission Factors'!$G$65*0.001</f>
        <v>0</v>
      </c>
    </row>
    <row r="132" spans="1:18">
      <c r="A132" s="751"/>
      <c r="B132" s="763"/>
      <c r="C132" s="764">
        <f>(B132/'Emission Factors'!$B$87)/1000</f>
        <v>0</v>
      </c>
      <c r="D132" s="753">
        <f>'Emission Factors'!$B$65*C132</f>
        <v>0</v>
      </c>
      <c r="E132" s="753">
        <f>D132*'Emission Factors'!$C$65*0.001</f>
        <v>0</v>
      </c>
      <c r="F132" s="753">
        <f>E132*'Emission Factors'!$D$65*0.001</f>
        <v>0</v>
      </c>
      <c r="G132" s="753">
        <f>F132*'Emission Factors'!$E$65*0.001</f>
        <v>0</v>
      </c>
      <c r="H132" s="754">
        <f t="shared" si="10"/>
        <v>0</v>
      </c>
      <c r="I132" s="755">
        <f>D132*'Emission Factors'!$G$65*0.001</f>
        <v>0</v>
      </c>
    </row>
    <row r="133" spans="1:18" ht="16.5" thickBot="1">
      <c r="A133" s="751"/>
      <c r="B133" s="763"/>
      <c r="C133" s="764">
        <f>(B133/'Emission Factors'!$B$87)/1000</f>
        <v>0</v>
      </c>
      <c r="D133" s="753">
        <f>'Emission Factors'!$B$65*C133</f>
        <v>0</v>
      </c>
      <c r="E133" s="753">
        <f>D133*'Emission Factors'!$C$65*0.001</f>
        <v>0</v>
      </c>
      <c r="F133" s="753">
        <f>E133*'Emission Factors'!$D$65*0.001</f>
        <v>0</v>
      </c>
      <c r="G133" s="753">
        <f>F133*'Emission Factors'!$E$65*0.001</f>
        <v>0</v>
      </c>
      <c r="H133" s="771">
        <f t="shared" si="10"/>
        <v>0</v>
      </c>
      <c r="I133" s="755">
        <f>D133*'Emission Factors'!$G$65*0.001</f>
        <v>0</v>
      </c>
    </row>
    <row r="134" spans="1:18" ht="24" thickBot="1">
      <c r="A134" s="769"/>
      <c r="D134" s="759"/>
      <c r="E134" s="742"/>
      <c r="F134" s="759"/>
      <c r="G134" s="760" t="s">
        <v>434</v>
      </c>
      <c r="H134" s="761">
        <f>SUM(H124:H133)</f>
        <v>0</v>
      </c>
      <c r="I134" s="762">
        <f>SUM(I124:I133)</f>
        <v>0</v>
      </c>
      <c r="J134" s="742"/>
      <c r="K134" s="742"/>
      <c r="L134" s="742"/>
      <c r="M134" s="742"/>
      <c r="N134" s="742"/>
      <c r="O134" s="759"/>
      <c r="P134" s="743"/>
    </row>
    <row r="135" spans="1:18" s="740" customFormat="1" ht="36">
      <c r="A135" s="1993" t="s">
        <v>486</v>
      </c>
      <c r="B135" s="1994"/>
      <c r="C135" s="1994"/>
      <c r="D135" s="1994"/>
      <c r="E135" s="1994"/>
      <c r="F135" s="1994"/>
      <c r="G135" s="1994"/>
      <c r="H135" s="1994"/>
      <c r="I135" s="1994"/>
      <c r="J135" s="1994"/>
      <c r="K135" s="1994"/>
      <c r="L135" s="1994"/>
      <c r="M135" s="1994"/>
      <c r="N135" s="1994"/>
      <c r="O135" s="1994"/>
      <c r="P135" s="1994"/>
      <c r="Q135" s="1994"/>
      <c r="R135" s="1994"/>
    </row>
    <row r="136" spans="1:18" s="743" customFormat="1" ht="23.45" customHeight="1" thickBot="1">
      <c r="A136" s="2004" t="s">
        <v>487</v>
      </c>
      <c r="B136" s="2005"/>
      <c r="C136" s="2006"/>
      <c r="D136" s="2007" t="s">
        <v>427</v>
      </c>
      <c r="E136" s="2008"/>
      <c r="F136" s="741"/>
      <c r="G136" s="742"/>
      <c r="H136" s="742"/>
      <c r="I136" s="742"/>
      <c r="J136" s="742"/>
      <c r="K136" s="742"/>
      <c r="L136" s="742"/>
      <c r="M136" s="742"/>
      <c r="P136" s="766"/>
      <c r="R136" s="767"/>
    </row>
    <row r="137" spans="1:18" ht="18.75">
      <c r="E137" s="744"/>
      <c r="F137" s="744"/>
      <c r="G137" s="744"/>
      <c r="H137" s="745" t="s">
        <v>62</v>
      </c>
      <c r="I137" s="746" t="s">
        <v>92</v>
      </c>
    </row>
    <row r="138" spans="1:18" ht="110.45" customHeight="1">
      <c r="A138" s="747" t="s">
        <v>428</v>
      </c>
      <c r="B138" s="747" t="s">
        <v>488</v>
      </c>
      <c r="C138" s="748" t="s">
        <v>474</v>
      </c>
      <c r="D138" s="748" t="s">
        <v>448</v>
      </c>
      <c r="E138" s="748" t="s">
        <v>420</v>
      </c>
      <c r="F138" s="748" t="s">
        <v>431</v>
      </c>
      <c r="G138" s="748" t="s">
        <v>432</v>
      </c>
      <c r="H138" s="749" t="s">
        <v>420</v>
      </c>
      <c r="I138" s="750" t="s">
        <v>420</v>
      </c>
      <c r="Q138" s="772"/>
    </row>
    <row r="139" spans="1:18">
      <c r="A139" s="789"/>
      <c r="B139" s="790"/>
      <c r="C139" s="753">
        <f>B139/1000</f>
        <v>0</v>
      </c>
      <c r="D139" s="753">
        <f>'Emission Factors'!$B$65*C139</f>
        <v>0</v>
      </c>
      <c r="E139" s="753">
        <f>D139*'Emission Factors'!$C$65*0.001</f>
        <v>0</v>
      </c>
      <c r="F139" s="753">
        <f>E139*'Emission Factors'!$D$65*0.001</f>
        <v>0</v>
      </c>
      <c r="G139" s="753">
        <f>F139*'Emission Factors'!$E$65*0.001</f>
        <v>0</v>
      </c>
      <c r="H139" s="754">
        <f t="shared" ref="H139:H148" si="11">E139+F139+G139</f>
        <v>0</v>
      </c>
      <c r="I139" s="755">
        <f>D139*'Emission Factors'!$G$65*0.001</f>
        <v>0</v>
      </c>
    </row>
    <row r="140" spans="1:18">
      <c r="A140" s="751"/>
      <c r="B140" s="752"/>
      <c r="C140" s="753">
        <f t="shared" ref="C140:C147" si="12">B140/1000</f>
        <v>0</v>
      </c>
      <c r="D140" s="753">
        <f>'Emission Factors'!$B$65*C140</f>
        <v>0</v>
      </c>
      <c r="E140" s="753">
        <f>D140*'Emission Factors'!$C$65*0.001</f>
        <v>0</v>
      </c>
      <c r="F140" s="753">
        <f>E140*'Emission Factors'!$D$65*0.001</f>
        <v>0</v>
      </c>
      <c r="G140" s="753">
        <f>F140*'Emission Factors'!$E$65*0.001</f>
        <v>0</v>
      </c>
      <c r="H140" s="754">
        <f t="shared" si="11"/>
        <v>0</v>
      </c>
      <c r="I140" s="755">
        <f>D140*'Emission Factors'!$G$65*0.001</f>
        <v>0</v>
      </c>
    </row>
    <row r="141" spans="1:18">
      <c r="A141" s="751"/>
      <c r="B141" s="752"/>
      <c r="C141" s="753">
        <f t="shared" si="12"/>
        <v>0</v>
      </c>
      <c r="D141" s="753">
        <f>'Emission Factors'!$B$65*C141</f>
        <v>0</v>
      </c>
      <c r="E141" s="753">
        <f>D141*'Emission Factors'!$C$65*0.001</f>
        <v>0</v>
      </c>
      <c r="F141" s="753">
        <f>E141*'Emission Factors'!$D$65*0.001</f>
        <v>0</v>
      </c>
      <c r="G141" s="753">
        <f>F141*'Emission Factors'!$E$65*0.001</f>
        <v>0</v>
      </c>
      <c r="H141" s="754">
        <f t="shared" si="11"/>
        <v>0</v>
      </c>
      <c r="I141" s="755">
        <f>D141*'Emission Factors'!$G$65*0.001</f>
        <v>0</v>
      </c>
    </row>
    <row r="142" spans="1:18">
      <c r="A142" s="751"/>
      <c r="B142" s="770"/>
      <c r="C142" s="753">
        <f t="shared" si="12"/>
        <v>0</v>
      </c>
      <c r="D142" s="753">
        <f>'Emission Factors'!$B$65*C142</f>
        <v>0</v>
      </c>
      <c r="E142" s="753">
        <f>D142*'Emission Factors'!$C$65*0.001</f>
        <v>0</v>
      </c>
      <c r="F142" s="753">
        <f>E142*'Emission Factors'!$D$65*0.001</f>
        <v>0</v>
      </c>
      <c r="G142" s="753">
        <f>F142*'Emission Factors'!$E$65*0.001</f>
        <v>0</v>
      </c>
      <c r="H142" s="754">
        <f t="shared" si="11"/>
        <v>0</v>
      </c>
      <c r="I142" s="755">
        <f>D142*'Emission Factors'!$G$65*0.001</f>
        <v>0</v>
      </c>
    </row>
    <row r="143" spans="1:18">
      <c r="A143" s="751"/>
      <c r="B143" s="770"/>
      <c r="C143" s="753">
        <f t="shared" si="12"/>
        <v>0</v>
      </c>
      <c r="D143" s="753">
        <f>'Emission Factors'!$B$65*C143</f>
        <v>0</v>
      </c>
      <c r="E143" s="753">
        <f>D143*'Emission Factors'!$C$65*0.001</f>
        <v>0</v>
      </c>
      <c r="F143" s="753">
        <f>E143*'Emission Factors'!$D$65*0.001</f>
        <v>0</v>
      </c>
      <c r="G143" s="753">
        <f>F143*'Emission Factors'!$E$65*0.001</f>
        <v>0</v>
      </c>
      <c r="H143" s="754">
        <f t="shared" si="11"/>
        <v>0</v>
      </c>
      <c r="I143" s="755">
        <f>D143*'Emission Factors'!$G$65*0.001</f>
        <v>0</v>
      </c>
    </row>
    <row r="144" spans="1:18">
      <c r="A144" s="751"/>
      <c r="B144" s="770"/>
      <c r="C144" s="753">
        <f t="shared" si="12"/>
        <v>0</v>
      </c>
      <c r="D144" s="753">
        <f>'Emission Factors'!$B$65*C144</f>
        <v>0</v>
      </c>
      <c r="E144" s="753">
        <f>D144*'Emission Factors'!$C$65*0.001</f>
        <v>0</v>
      </c>
      <c r="F144" s="753">
        <f>E144*'Emission Factors'!$D$65*0.001</f>
        <v>0</v>
      </c>
      <c r="G144" s="753">
        <f>F144*'Emission Factors'!$E$65*0.001</f>
        <v>0</v>
      </c>
      <c r="H144" s="754">
        <f t="shared" si="11"/>
        <v>0</v>
      </c>
      <c r="I144" s="755">
        <f>D144*'Emission Factors'!$G$65*0.001</f>
        <v>0</v>
      </c>
    </row>
    <row r="145" spans="1:16">
      <c r="A145" s="751"/>
      <c r="B145" s="770"/>
      <c r="C145" s="753">
        <f t="shared" si="12"/>
        <v>0</v>
      </c>
      <c r="D145" s="753">
        <f>'Emission Factors'!$B$65*C145</f>
        <v>0</v>
      </c>
      <c r="E145" s="753">
        <f>D145*'Emission Factors'!$C$65*0.001</f>
        <v>0</v>
      </c>
      <c r="F145" s="753">
        <f>E145*'Emission Factors'!$D$65*0.001</f>
        <v>0</v>
      </c>
      <c r="G145" s="753">
        <f>F145*'Emission Factors'!$E$65*0.001</f>
        <v>0</v>
      </c>
      <c r="H145" s="754">
        <f t="shared" si="11"/>
        <v>0</v>
      </c>
      <c r="I145" s="755">
        <f>D145*'Emission Factors'!$G$65*0.001</f>
        <v>0</v>
      </c>
    </row>
    <row r="146" spans="1:16">
      <c r="A146" s="751"/>
      <c r="B146" s="770"/>
      <c r="C146" s="753">
        <f t="shared" si="12"/>
        <v>0</v>
      </c>
      <c r="D146" s="753">
        <f>'Emission Factors'!$B$65*C146</f>
        <v>0</v>
      </c>
      <c r="E146" s="753">
        <f>D146*'Emission Factors'!$C$65*0.001</f>
        <v>0</v>
      </c>
      <c r="F146" s="753">
        <f>E146*'Emission Factors'!$D$65*0.001</f>
        <v>0</v>
      </c>
      <c r="G146" s="753">
        <f>F146*'Emission Factors'!$E$65*0.001</f>
        <v>0</v>
      </c>
      <c r="H146" s="754">
        <f t="shared" si="11"/>
        <v>0</v>
      </c>
      <c r="I146" s="755">
        <f>D146*'Emission Factors'!$G$65*0.001</f>
        <v>0</v>
      </c>
    </row>
    <row r="147" spans="1:16">
      <c r="A147" s="751"/>
      <c r="B147" s="770"/>
      <c r="C147" s="753">
        <f t="shared" si="12"/>
        <v>0</v>
      </c>
      <c r="D147" s="753">
        <f>'Emission Factors'!$B$65*C147</f>
        <v>0</v>
      </c>
      <c r="E147" s="753">
        <f>D147*'Emission Factors'!$C$65*0.001</f>
        <v>0</v>
      </c>
      <c r="F147" s="753">
        <f>E147*'Emission Factors'!$D$65*0.001</f>
        <v>0</v>
      </c>
      <c r="G147" s="753">
        <f>F147*'Emission Factors'!$E$65*0.001</f>
        <v>0</v>
      </c>
      <c r="H147" s="754">
        <f t="shared" si="11"/>
        <v>0</v>
      </c>
      <c r="I147" s="755">
        <f>D147*'Emission Factors'!$G$65*0.001</f>
        <v>0</v>
      </c>
    </row>
    <row r="148" spans="1:16" ht="16.5" thickBot="1">
      <c r="A148" s="751"/>
      <c r="B148" s="770"/>
      <c r="C148" s="753">
        <f>B148/1000</f>
        <v>0</v>
      </c>
      <c r="D148" s="753">
        <f>'Emission Factors'!$B$65*C148</f>
        <v>0</v>
      </c>
      <c r="E148" s="753">
        <f>D148*'Emission Factors'!$C$65*0.001</f>
        <v>0</v>
      </c>
      <c r="F148" s="753">
        <f>E148*'Emission Factors'!$D$65*0.001</f>
        <v>0</v>
      </c>
      <c r="G148" s="753">
        <f>F148*'Emission Factors'!$E$65*0.001</f>
        <v>0</v>
      </c>
      <c r="H148" s="771">
        <f t="shared" si="11"/>
        <v>0</v>
      </c>
      <c r="I148" s="755">
        <f>D148*'Emission Factors'!$G$65*0.001</f>
        <v>0</v>
      </c>
    </row>
    <row r="149" spans="1:16" s="743" customFormat="1" ht="24" thickBot="1">
      <c r="A149" s="758" t="s">
        <v>435</v>
      </c>
      <c r="B149" s="759"/>
      <c r="C149" s="759"/>
      <c r="D149" s="759"/>
      <c r="E149" s="742"/>
      <c r="F149" s="759"/>
      <c r="G149" s="760" t="s">
        <v>434</v>
      </c>
      <c r="H149" s="761">
        <f>SUM(H139:H148)</f>
        <v>0</v>
      </c>
      <c r="I149" s="762">
        <f>SUM(I139:I148)</f>
        <v>0</v>
      </c>
      <c r="J149" s="742"/>
      <c r="K149" s="742"/>
      <c r="L149" s="742"/>
      <c r="M149" s="742"/>
      <c r="N149" s="742"/>
      <c r="O149" s="759"/>
    </row>
    <row r="150" spans="1:16" s="743" customFormat="1" ht="23.45" customHeight="1" thickBot="1">
      <c r="A150" s="2004" t="s">
        <v>489</v>
      </c>
      <c r="B150" s="2005"/>
      <c r="C150" s="2006"/>
      <c r="D150" s="2007" t="s">
        <v>427</v>
      </c>
      <c r="E150" s="2008"/>
      <c r="F150" s="741"/>
      <c r="G150" s="742"/>
      <c r="H150" s="742"/>
      <c r="I150" s="742"/>
      <c r="J150" s="742"/>
      <c r="K150" s="742"/>
      <c r="L150" s="742"/>
      <c r="M150" s="742"/>
      <c r="P150" s="766"/>
    </row>
    <row r="151" spans="1:16" ht="18.75">
      <c r="E151" s="744"/>
      <c r="F151" s="744"/>
      <c r="G151" s="744"/>
      <c r="H151" s="745" t="s">
        <v>62</v>
      </c>
      <c r="I151" s="746" t="s">
        <v>92</v>
      </c>
    </row>
    <row r="152" spans="1:16" ht="110.45" customHeight="1">
      <c r="A152" s="747" t="s">
        <v>428</v>
      </c>
      <c r="B152" s="747" t="s">
        <v>442</v>
      </c>
      <c r="C152" s="747" t="s">
        <v>488</v>
      </c>
      <c r="D152" s="748" t="s">
        <v>448</v>
      </c>
      <c r="E152" s="748" t="s">
        <v>420</v>
      </c>
      <c r="F152" s="748" t="s">
        <v>431</v>
      </c>
      <c r="G152" s="748" t="s">
        <v>432</v>
      </c>
      <c r="H152" s="749" t="s">
        <v>420</v>
      </c>
      <c r="I152" s="750" t="s">
        <v>420</v>
      </c>
    </row>
    <row r="153" spans="1:16">
      <c r="A153" s="751"/>
      <c r="B153" s="763"/>
      <c r="C153" s="764">
        <f>(B153/'Emission Factors'!$B$87)/1000</f>
        <v>0</v>
      </c>
      <c r="D153" s="753">
        <f>'Emission Factors'!$B$65*C153</f>
        <v>0</v>
      </c>
      <c r="E153" s="753">
        <f>D153*'Emission Factors'!$C$65*0.001</f>
        <v>0</v>
      </c>
      <c r="F153" s="753">
        <f>E153*'Emission Factors'!$D$65*0.001</f>
        <v>0</v>
      </c>
      <c r="G153" s="753">
        <f>F153*'Emission Factors'!$E$65*0.001</f>
        <v>0</v>
      </c>
      <c r="H153" s="754">
        <f t="shared" ref="H153:H162" si="13">E153+F153+G153</f>
        <v>0</v>
      </c>
      <c r="I153" s="755">
        <f>D153*'Emission Factors'!$G$65*0.001</f>
        <v>0</v>
      </c>
    </row>
    <row r="154" spans="1:16">
      <c r="A154" s="751"/>
      <c r="B154" s="763"/>
      <c r="C154" s="764">
        <f>(B154/'Emission Factors'!$B$87)/1000</f>
        <v>0</v>
      </c>
      <c r="D154" s="753">
        <f>'Emission Factors'!$B$65*C154</f>
        <v>0</v>
      </c>
      <c r="E154" s="753">
        <f>D154*'Emission Factors'!$C$65*0.001</f>
        <v>0</v>
      </c>
      <c r="F154" s="753">
        <f>E154*'Emission Factors'!$D$65*0.001</f>
        <v>0</v>
      </c>
      <c r="G154" s="753">
        <f>F154*'Emission Factors'!$E$65*0.001</f>
        <v>0</v>
      </c>
      <c r="H154" s="754">
        <f t="shared" si="13"/>
        <v>0</v>
      </c>
      <c r="I154" s="755">
        <f>D154*'Emission Factors'!$G$65*0.001</f>
        <v>0</v>
      </c>
    </row>
    <row r="155" spans="1:16">
      <c r="A155" s="751"/>
      <c r="B155" s="763"/>
      <c r="C155" s="764">
        <f>(B155/'Emission Factors'!$B$87)/1000</f>
        <v>0</v>
      </c>
      <c r="D155" s="753">
        <f>'Emission Factors'!$B$65*C155</f>
        <v>0</v>
      </c>
      <c r="E155" s="753">
        <f>D155*'Emission Factors'!$C$65*0.001</f>
        <v>0</v>
      </c>
      <c r="F155" s="753">
        <f>E155*'Emission Factors'!$D$65*0.001</f>
        <v>0</v>
      </c>
      <c r="G155" s="753">
        <f>F155*'Emission Factors'!$E$65*0.001</f>
        <v>0</v>
      </c>
      <c r="H155" s="754">
        <f t="shared" si="13"/>
        <v>0</v>
      </c>
      <c r="I155" s="755">
        <f>D155*'Emission Factors'!$G$65*0.001</f>
        <v>0</v>
      </c>
    </row>
    <row r="156" spans="1:16">
      <c r="A156" s="751"/>
      <c r="B156" s="763"/>
      <c r="C156" s="764">
        <f>(B156/'Emission Factors'!$B$87)/1000</f>
        <v>0</v>
      </c>
      <c r="D156" s="753">
        <f>'Emission Factors'!$B$65*C156</f>
        <v>0</v>
      </c>
      <c r="E156" s="753">
        <f>D156*'Emission Factors'!$C$65*0.001</f>
        <v>0</v>
      </c>
      <c r="F156" s="753">
        <f>E156*'Emission Factors'!$D$65*0.001</f>
        <v>0</v>
      </c>
      <c r="G156" s="753">
        <f>F156*'Emission Factors'!$E$65*0.001</f>
        <v>0</v>
      </c>
      <c r="H156" s="754">
        <f t="shared" si="13"/>
        <v>0</v>
      </c>
      <c r="I156" s="755">
        <f>D156*'Emission Factors'!$G$65*0.001</f>
        <v>0</v>
      </c>
    </row>
    <row r="157" spans="1:16">
      <c r="A157" s="751"/>
      <c r="B157" s="763"/>
      <c r="C157" s="764">
        <f>(B157/'Emission Factors'!$B$87)/1000</f>
        <v>0</v>
      </c>
      <c r="D157" s="753">
        <f>'Emission Factors'!$B$65*C157</f>
        <v>0</v>
      </c>
      <c r="E157" s="753">
        <f>D157*'Emission Factors'!$C$65*0.001</f>
        <v>0</v>
      </c>
      <c r="F157" s="753">
        <f>E157*'Emission Factors'!$D$65*0.001</f>
        <v>0</v>
      </c>
      <c r="G157" s="753">
        <f>F157*'Emission Factors'!$E$65*0.001</f>
        <v>0</v>
      </c>
      <c r="H157" s="754">
        <f t="shared" si="13"/>
        <v>0</v>
      </c>
      <c r="I157" s="755">
        <f>D157*'Emission Factors'!$G$65*0.001</f>
        <v>0</v>
      </c>
    </row>
    <row r="158" spans="1:16">
      <c r="A158" s="751"/>
      <c r="B158" s="763"/>
      <c r="C158" s="764">
        <f>(B158/'Emission Factors'!$B$87)/1000</f>
        <v>0</v>
      </c>
      <c r="D158" s="753">
        <f>'Emission Factors'!$B$65*C158</f>
        <v>0</v>
      </c>
      <c r="E158" s="753">
        <f>D158*'Emission Factors'!$C$65*0.001</f>
        <v>0</v>
      </c>
      <c r="F158" s="753">
        <f>E158*'Emission Factors'!$D$65*0.001</f>
        <v>0</v>
      </c>
      <c r="G158" s="753">
        <f>F158*'Emission Factors'!$E$65*0.001</f>
        <v>0</v>
      </c>
      <c r="H158" s="754">
        <f t="shared" si="13"/>
        <v>0</v>
      </c>
      <c r="I158" s="755">
        <f>D158*'Emission Factors'!$G$65*0.001</f>
        <v>0</v>
      </c>
    </row>
    <row r="159" spans="1:16">
      <c r="A159" s="751"/>
      <c r="B159" s="763"/>
      <c r="C159" s="764">
        <f>(B159/'Emission Factors'!$B$87)/1000</f>
        <v>0</v>
      </c>
      <c r="D159" s="753">
        <f>'Emission Factors'!$B$65*C159</f>
        <v>0</v>
      </c>
      <c r="E159" s="753">
        <f>D159*'Emission Factors'!$C$65*0.001</f>
        <v>0</v>
      </c>
      <c r="F159" s="753">
        <f>E159*'Emission Factors'!$D$65*0.001</f>
        <v>0</v>
      </c>
      <c r="G159" s="753">
        <f>F159*'Emission Factors'!$E$65*0.001</f>
        <v>0</v>
      </c>
      <c r="H159" s="754">
        <f t="shared" si="13"/>
        <v>0</v>
      </c>
      <c r="I159" s="755">
        <f>D159*'Emission Factors'!$G$65*0.001</f>
        <v>0</v>
      </c>
    </row>
    <row r="160" spans="1:16">
      <c r="A160" s="751"/>
      <c r="B160" s="763"/>
      <c r="C160" s="764">
        <f>(B160/'Emission Factors'!$B$87)/1000</f>
        <v>0</v>
      </c>
      <c r="D160" s="753">
        <f>'Emission Factors'!$B$65*C160</f>
        <v>0</v>
      </c>
      <c r="E160" s="753">
        <f>D160*'Emission Factors'!$C$65*0.001</f>
        <v>0</v>
      </c>
      <c r="F160" s="753">
        <f>E160*'Emission Factors'!$D$65*0.001</f>
        <v>0</v>
      </c>
      <c r="G160" s="753">
        <f>F160*'Emission Factors'!$E$65*0.001</f>
        <v>0</v>
      </c>
      <c r="H160" s="754">
        <f t="shared" si="13"/>
        <v>0</v>
      </c>
      <c r="I160" s="755">
        <f>D160*'Emission Factors'!$G$65*0.001</f>
        <v>0</v>
      </c>
    </row>
    <row r="161" spans="1:18">
      <c r="A161" s="751"/>
      <c r="B161" s="763"/>
      <c r="C161" s="764">
        <f>(B161/'Emission Factors'!$B$87)/1000</f>
        <v>0</v>
      </c>
      <c r="D161" s="753">
        <f>'Emission Factors'!$B$65*C161</f>
        <v>0</v>
      </c>
      <c r="E161" s="753">
        <f>D161*'Emission Factors'!$C$65*0.001</f>
        <v>0</v>
      </c>
      <c r="F161" s="753">
        <f>E161*'Emission Factors'!$D$65*0.001</f>
        <v>0</v>
      </c>
      <c r="G161" s="753">
        <f>F161*'Emission Factors'!$E$65*0.001</f>
        <v>0</v>
      </c>
      <c r="H161" s="754">
        <f t="shared" si="13"/>
        <v>0</v>
      </c>
      <c r="I161" s="755">
        <f>D161*'Emission Factors'!$G$65*0.001</f>
        <v>0</v>
      </c>
    </row>
    <row r="162" spans="1:18" ht="16.5" thickBot="1">
      <c r="A162" s="751"/>
      <c r="B162" s="763"/>
      <c r="C162" s="764">
        <f>(B162/'Emission Factors'!$B$87)/1000</f>
        <v>0</v>
      </c>
      <c r="D162" s="753">
        <f>'Emission Factors'!$B$65*C162</f>
        <v>0</v>
      </c>
      <c r="E162" s="753">
        <f>D162*'Emission Factors'!$C$65*0.001</f>
        <v>0</v>
      </c>
      <c r="F162" s="753">
        <f>E162*'Emission Factors'!$D$65*0.001</f>
        <v>0</v>
      </c>
      <c r="G162" s="753">
        <f>F162*'Emission Factors'!$E$65*0.001</f>
        <v>0</v>
      </c>
      <c r="H162" s="771">
        <f t="shared" si="13"/>
        <v>0</v>
      </c>
      <c r="I162" s="755">
        <f>D162*'Emission Factors'!$G$65*0.001</f>
        <v>0</v>
      </c>
    </row>
    <row r="163" spans="1:18" ht="24" thickBot="1">
      <c r="A163" s="769"/>
      <c r="D163" s="759"/>
      <c r="E163" s="742"/>
      <c r="F163" s="759"/>
      <c r="G163" s="760" t="s">
        <v>434</v>
      </c>
      <c r="H163" s="761">
        <f>SUM(H153:H162)</f>
        <v>0</v>
      </c>
      <c r="I163" s="762">
        <f>SUM(I153:I162)</f>
        <v>0</v>
      </c>
      <c r="J163" s="742"/>
      <c r="K163" s="742"/>
      <c r="L163" s="742"/>
      <c r="M163" s="742"/>
      <c r="N163" s="742"/>
      <c r="O163" s="759"/>
      <c r="P163" s="743"/>
    </row>
    <row r="165" spans="1:18" s="740" customFormat="1" ht="36">
      <c r="A165" s="1993" t="s">
        <v>490</v>
      </c>
      <c r="B165" s="1994"/>
      <c r="C165" s="1994"/>
      <c r="D165" s="1994"/>
      <c r="E165" s="1994"/>
      <c r="F165" s="1994"/>
      <c r="G165" s="1994"/>
      <c r="H165" s="1994"/>
      <c r="I165" s="1994"/>
      <c r="J165" s="1994"/>
      <c r="K165" s="1994"/>
      <c r="L165" s="1994"/>
      <c r="M165" s="1994"/>
      <c r="N165" s="1994"/>
      <c r="O165" s="1994"/>
      <c r="P165" s="1994"/>
      <c r="Q165" s="1994"/>
      <c r="R165" s="1994"/>
    </row>
    <row r="166" spans="1:18" s="743" customFormat="1" ht="24" thickBot="1">
      <c r="A166" s="2004" t="s">
        <v>444</v>
      </c>
      <c r="B166" s="2005"/>
      <c r="C166" s="2006"/>
      <c r="D166" s="1991" t="s">
        <v>427</v>
      </c>
      <c r="E166" s="1992"/>
      <c r="F166" s="759"/>
      <c r="G166" s="742"/>
      <c r="H166" s="742"/>
      <c r="I166" s="742"/>
      <c r="J166" s="742"/>
      <c r="K166" s="742"/>
      <c r="L166" s="742"/>
      <c r="M166" s="742"/>
      <c r="N166" s="742"/>
      <c r="O166" s="767"/>
      <c r="Q166" s="767"/>
    </row>
    <row r="167" spans="1:18" ht="18.75">
      <c r="E167" s="744"/>
      <c r="F167" s="744"/>
      <c r="G167" s="744"/>
      <c r="H167" s="745" t="s">
        <v>62</v>
      </c>
      <c r="I167" s="746" t="s">
        <v>92</v>
      </c>
    </row>
    <row r="168" spans="1:18" ht="56.25" customHeight="1">
      <c r="A168" s="773" t="s">
        <v>428</v>
      </c>
      <c r="B168" s="773" t="s">
        <v>491</v>
      </c>
      <c r="C168" s="748" t="s">
        <v>492</v>
      </c>
      <c r="D168" s="748" t="s">
        <v>448</v>
      </c>
      <c r="E168" s="748" t="s">
        <v>420</v>
      </c>
      <c r="F168" s="748" t="s">
        <v>431</v>
      </c>
      <c r="G168" s="748" t="s">
        <v>432</v>
      </c>
      <c r="H168" s="749" t="s">
        <v>420</v>
      </c>
      <c r="I168" s="750" t="s">
        <v>420</v>
      </c>
    </row>
    <row r="169" spans="1:18">
      <c r="A169" s="774"/>
      <c r="B169" s="770"/>
      <c r="C169" s="753">
        <f>B169/1000</f>
        <v>0</v>
      </c>
      <c r="D169" s="753">
        <f>'Emission Factors'!$B$69*C169</f>
        <v>0</v>
      </c>
      <c r="E169" s="1561">
        <f>'Emission Factors'!$C$69*D169/1000</f>
        <v>0</v>
      </c>
      <c r="F169" s="1561">
        <f>'Emission Factors'!$D$69*D169/1000</f>
        <v>0</v>
      </c>
      <c r="G169" s="1561">
        <f>'Emission Factors'!$E$69*D169/1000</f>
        <v>0</v>
      </c>
      <c r="H169" s="754">
        <f>(E169+F169+G169)*0.001</f>
        <v>0</v>
      </c>
      <c r="I169" s="755">
        <f>D169*'Emission Factors'!$G$69*0.001</f>
        <v>0</v>
      </c>
    </row>
    <row r="170" spans="1:18">
      <c r="A170" s="774"/>
      <c r="B170" s="770"/>
      <c r="C170" s="753">
        <f t="shared" ref="C170:C178" si="14">B170/1000</f>
        <v>0</v>
      </c>
      <c r="D170" s="753">
        <f>'Emission Factors'!$B$69*C170</f>
        <v>0</v>
      </c>
      <c r="E170" s="1561">
        <f>'Emission Factors'!$C$69*D170/1000</f>
        <v>0</v>
      </c>
      <c r="F170" s="1561">
        <f>'Emission Factors'!$D$69*D170/1000</f>
        <v>0</v>
      </c>
      <c r="G170" s="1561">
        <f>'Emission Factors'!$E$69*D170/1000</f>
        <v>0</v>
      </c>
      <c r="H170" s="754">
        <f t="shared" ref="H170:H178" si="15">E170+F170+G170</f>
        <v>0</v>
      </c>
      <c r="I170" s="755">
        <f>D170*'Emission Factors'!$G$69*0.001</f>
        <v>0</v>
      </c>
    </row>
    <row r="171" spans="1:18">
      <c r="A171" s="774"/>
      <c r="B171" s="770"/>
      <c r="C171" s="753">
        <f t="shared" si="14"/>
        <v>0</v>
      </c>
      <c r="D171" s="753">
        <f>'Emission Factors'!$B$69*C171</f>
        <v>0</v>
      </c>
      <c r="E171" s="1561">
        <f>'Emission Factors'!$C$69*D171/1000</f>
        <v>0</v>
      </c>
      <c r="F171" s="1561">
        <f>'Emission Factors'!$D$69*D171/1000</f>
        <v>0</v>
      </c>
      <c r="G171" s="1561">
        <f>'Emission Factors'!$E$69*D171/1000</f>
        <v>0</v>
      </c>
      <c r="H171" s="754">
        <f t="shared" si="15"/>
        <v>0</v>
      </c>
      <c r="I171" s="755">
        <f>D171*'Emission Factors'!$G$69*0.001</f>
        <v>0</v>
      </c>
    </row>
    <row r="172" spans="1:18">
      <c r="A172" s="774"/>
      <c r="B172" s="770"/>
      <c r="C172" s="753">
        <f t="shared" si="14"/>
        <v>0</v>
      </c>
      <c r="D172" s="753">
        <f>'Emission Factors'!$B$69*C172</f>
        <v>0</v>
      </c>
      <c r="E172" s="1561">
        <f>'Emission Factors'!$C$69*D172/1000</f>
        <v>0</v>
      </c>
      <c r="F172" s="1561">
        <f>'Emission Factors'!$D$69*D172/1000</f>
        <v>0</v>
      </c>
      <c r="G172" s="1561">
        <f>'Emission Factors'!$E$69*D172/1000</f>
        <v>0</v>
      </c>
      <c r="H172" s="754">
        <f t="shared" si="15"/>
        <v>0</v>
      </c>
      <c r="I172" s="755">
        <f>D172*'Emission Factors'!$G$69*0.001</f>
        <v>0</v>
      </c>
    </row>
    <row r="173" spans="1:18">
      <c r="A173" s="774"/>
      <c r="B173" s="770"/>
      <c r="C173" s="753">
        <f t="shared" si="14"/>
        <v>0</v>
      </c>
      <c r="D173" s="753">
        <f>'Emission Factors'!$B$69*C173</f>
        <v>0</v>
      </c>
      <c r="E173" s="1561">
        <f>'Emission Factors'!$C$69*D173/1000</f>
        <v>0</v>
      </c>
      <c r="F173" s="1561">
        <f>'Emission Factors'!$D$69*D173/1000</f>
        <v>0</v>
      </c>
      <c r="G173" s="1561">
        <f>'Emission Factors'!$E$69*D173/1000</f>
        <v>0</v>
      </c>
      <c r="H173" s="754">
        <f t="shared" si="15"/>
        <v>0</v>
      </c>
      <c r="I173" s="755">
        <f>D173*'Emission Factors'!$G$69*0.001</f>
        <v>0</v>
      </c>
    </row>
    <row r="174" spans="1:18">
      <c r="A174" s="774"/>
      <c r="B174" s="770"/>
      <c r="C174" s="753">
        <f t="shared" si="14"/>
        <v>0</v>
      </c>
      <c r="D174" s="753">
        <f>'Emission Factors'!$B$69*C174</f>
        <v>0</v>
      </c>
      <c r="E174" s="1561">
        <f>'Emission Factors'!$C$69*D174/1000</f>
        <v>0</v>
      </c>
      <c r="F174" s="1561">
        <f>'Emission Factors'!$D$69*D174/1000</f>
        <v>0</v>
      </c>
      <c r="G174" s="1561">
        <f>'Emission Factors'!$E$69*D174/1000</f>
        <v>0</v>
      </c>
      <c r="H174" s="754">
        <f t="shared" si="15"/>
        <v>0</v>
      </c>
      <c r="I174" s="755">
        <f>D174*'Emission Factors'!$G$69*0.001</f>
        <v>0</v>
      </c>
    </row>
    <row r="175" spans="1:18">
      <c r="A175" s="774"/>
      <c r="B175" s="770"/>
      <c r="C175" s="753">
        <f t="shared" si="14"/>
        <v>0</v>
      </c>
      <c r="D175" s="753">
        <f>'Emission Factors'!$B$69*C175</f>
        <v>0</v>
      </c>
      <c r="E175" s="1561">
        <f>'Emission Factors'!$C$69*D175/1000</f>
        <v>0</v>
      </c>
      <c r="F175" s="1561">
        <f>'Emission Factors'!$D$69*D175/1000</f>
        <v>0</v>
      </c>
      <c r="G175" s="1561">
        <f>'Emission Factors'!$E$69*D175/1000</f>
        <v>0</v>
      </c>
      <c r="H175" s="754">
        <f t="shared" si="15"/>
        <v>0</v>
      </c>
      <c r="I175" s="755">
        <f>D175*'Emission Factors'!$G$69*0.001</f>
        <v>0</v>
      </c>
    </row>
    <row r="176" spans="1:18">
      <c r="A176" s="774"/>
      <c r="B176" s="770"/>
      <c r="C176" s="753">
        <f t="shared" si="14"/>
        <v>0</v>
      </c>
      <c r="D176" s="753">
        <f>'Emission Factors'!$B$69*C176</f>
        <v>0</v>
      </c>
      <c r="E176" s="1561">
        <f>'Emission Factors'!$C$69*D176/1000</f>
        <v>0</v>
      </c>
      <c r="F176" s="1561">
        <f>'Emission Factors'!$D$69*D176/1000</f>
        <v>0</v>
      </c>
      <c r="G176" s="1561">
        <f>'Emission Factors'!$E$69*D176/1000</f>
        <v>0</v>
      </c>
      <c r="H176" s="754">
        <f t="shared" si="15"/>
        <v>0</v>
      </c>
      <c r="I176" s="755">
        <f>D176*'Emission Factors'!$G$69*0.001</f>
        <v>0</v>
      </c>
    </row>
    <row r="177" spans="1:9">
      <c r="A177" s="774"/>
      <c r="B177" s="770"/>
      <c r="C177" s="753">
        <f t="shared" si="14"/>
        <v>0</v>
      </c>
      <c r="D177" s="753">
        <f>'Emission Factors'!$B$69*C177</f>
        <v>0</v>
      </c>
      <c r="E177" s="1561">
        <f>'Emission Factors'!$C$69*D177/1000</f>
        <v>0</v>
      </c>
      <c r="F177" s="1561">
        <f>'Emission Factors'!$D$69*D177/1000</f>
        <v>0</v>
      </c>
      <c r="G177" s="1561">
        <f>'Emission Factors'!$E$69*D177/1000</f>
        <v>0</v>
      </c>
      <c r="H177" s="754">
        <f t="shared" si="15"/>
        <v>0</v>
      </c>
      <c r="I177" s="755">
        <f>D177*'Emission Factors'!$G$69*0.001</f>
        <v>0</v>
      </c>
    </row>
    <row r="178" spans="1:9" ht="16.5" thickBot="1">
      <c r="A178" s="774"/>
      <c r="B178" s="770"/>
      <c r="C178" s="753">
        <f t="shared" si="14"/>
        <v>0</v>
      </c>
      <c r="D178" s="753">
        <f>'Emission Factors'!$B$69*C178</f>
        <v>0</v>
      </c>
      <c r="E178" s="1561">
        <f>'Emission Factors'!$C$69*D178/1000</f>
        <v>0</v>
      </c>
      <c r="F178" s="1561">
        <f>'Emission Factors'!$D$69*D178/1000</f>
        <v>0</v>
      </c>
      <c r="G178" s="1561">
        <f>'Emission Factors'!$E$69*D178/1000</f>
        <v>0</v>
      </c>
      <c r="H178" s="771">
        <f t="shared" si="15"/>
        <v>0</v>
      </c>
      <c r="I178" s="755">
        <f>D178*'Emission Factors'!$G$69*0.001</f>
        <v>0</v>
      </c>
    </row>
    <row r="179" spans="1:9" ht="32.25" thickBot="1">
      <c r="A179" s="775" t="s">
        <v>493</v>
      </c>
      <c r="B179" s="776" t="s">
        <v>440</v>
      </c>
      <c r="G179" s="760" t="s">
        <v>434</v>
      </c>
      <c r="H179" s="761">
        <f>SUM(H169:H178)</f>
        <v>0</v>
      </c>
      <c r="I179" s="762">
        <f>SUM(I169:I178)</f>
        <v>0</v>
      </c>
    </row>
    <row r="180" spans="1:9" s="743" customFormat="1" ht="23.25">
      <c r="A180" s="758" t="s">
        <v>435</v>
      </c>
    </row>
    <row r="181" spans="1:9" s="743" customFormat="1" ht="24" thickBot="1">
      <c r="A181" s="2004" t="s">
        <v>453</v>
      </c>
      <c r="B181" s="2005"/>
      <c r="C181" s="2006"/>
      <c r="D181" s="1991" t="s">
        <v>427</v>
      </c>
      <c r="E181" s="1992"/>
      <c r="F181" s="759"/>
      <c r="G181" s="742"/>
      <c r="H181" s="742"/>
    </row>
    <row r="182" spans="1:9" ht="18.75">
      <c r="E182" s="744"/>
      <c r="F182" s="744"/>
      <c r="G182" s="744"/>
      <c r="H182" s="745" t="s">
        <v>62</v>
      </c>
      <c r="I182" s="746" t="s">
        <v>92</v>
      </c>
    </row>
    <row r="183" spans="1:9" ht="31.5">
      <c r="A183" s="773" t="s">
        <v>428</v>
      </c>
      <c r="B183" s="773" t="s">
        <v>494</v>
      </c>
      <c r="C183" s="773" t="s">
        <v>495</v>
      </c>
      <c r="D183" s="748" t="s">
        <v>448</v>
      </c>
      <c r="E183" s="748" t="s">
        <v>420</v>
      </c>
      <c r="F183" s="748" t="s">
        <v>431</v>
      </c>
      <c r="G183" s="748" t="s">
        <v>432</v>
      </c>
      <c r="H183" s="749" t="s">
        <v>420</v>
      </c>
      <c r="I183" s="750" t="s">
        <v>420</v>
      </c>
    </row>
    <row r="184" spans="1:9">
      <c r="A184" s="774"/>
      <c r="B184" s="763"/>
      <c r="C184" s="753">
        <f>(B184/'Emission Factors'!$B$88)/1000</f>
        <v>0</v>
      </c>
      <c r="D184" s="753">
        <f>'Emission Factors'!$B$69*C184</f>
        <v>0</v>
      </c>
      <c r="E184" s="1561">
        <f>'Emission Factors'!$C$69*D184/1000</f>
        <v>0</v>
      </c>
      <c r="F184" s="1561">
        <f>'Emission Factors'!$D$69*D184/1000</f>
        <v>0</v>
      </c>
      <c r="G184" s="1561">
        <f>'Emission Factors'!$E$69*D184/1000</f>
        <v>0</v>
      </c>
      <c r="H184" s="754">
        <f t="shared" ref="H184:H193" si="16">E184+F184+G184</f>
        <v>0</v>
      </c>
      <c r="I184" s="755">
        <f>D184*'Emission Factors'!$G$69*0.001</f>
        <v>0</v>
      </c>
    </row>
    <row r="185" spans="1:9">
      <c r="A185" s="774"/>
      <c r="B185" s="763"/>
      <c r="C185" s="753">
        <f>(B185/'Emission Factors'!$B$88)/1000</f>
        <v>0</v>
      </c>
      <c r="D185" s="753">
        <f>'Emission Factors'!$B$69*C185</f>
        <v>0</v>
      </c>
      <c r="E185" s="1561">
        <f>'Emission Factors'!$C$69*D185/1000</f>
        <v>0</v>
      </c>
      <c r="F185" s="1561">
        <f>'Emission Factors'!$D$69*D185/1000</f>
        <v>0</v>
      </c>
      <c r="G185" s="1561">
        <f>'Emission Factors'!$E$69*D185/1000</f>
        <v>0</v>
      </c>
      <c r="H185" s="754">
        <f t="shared" si="16"/>
        <v>0</v>
      </c>
      <c r="I185" s="755">
        <f>D185*'Emission Factors'!$G$69*0.001</f>
        <v>0</v>
      </c>
    </row>
    <row r="186" spans="1:9">
      <c r="A186" s="774"/>
      <c r="B186" s="763"/>
      <c r="C186" s="753">
        <f>(B186/'Emission Factors'!$B$88)/1000</f>
        <v>0</v>
      </c>
      <c r="D186" s="753">
        <f>'Emission Factors'!$B$69*C186</f>
        <v>0</v>
      </c>
      <c r="E186" s="1561">
        <f>'Emission Factors'!$C$69*D186/1000</f>
        <v>0</v>
      </c>
      <c r="F186" s="1561">
        <f>'Emission Factors'!$D$69*D186/1000</f>
        <v>0</v>
      </c>
      <c r="G186" s="1561">
        <f>'Emission Factors'!$E$69*D186/1000</f>
        <v>0</v>
      </c>
      <c r="H186" s="754">
        <f t="shared" si="16"/>
        <v>0</v>
      </c>
      <c r="I186" s="755">
        <f>D186*'Emission Factors'!$G$69*0.001</f>
        <v>0</v>
      </c>
    </row>
    <row r="187" spans="1:9">
      <c r="A187" s="774"/>
      <c r="B187" s="763"/>
      <c r="C187" s="753">
        <f>(B187/'Emission Factors'!$B$88)/1000</f>
        <v>0</v>
      </c>
      <c r="D187" s="753">
        <f>'Emission Factors'!$B$69*C187</f>
        <v>0</v>
      </c>
      <c r="E187" s="1561">
        <f>'Emission Factors'!$C$69*D187/1000</f>
        <v>0</v>
      </c>
      <c r="F187" s="1561">
        <f>'Emission Factors'!$D$69*D187/1000</f>
        <v>0</v>
      </c>
      <c r="G187" s="1561">
        <f>'Emission Factors'!$E$69*D187/1000</f>
        <v>0</v>
      </c>
      <c r="H187" s="754">
        <f t="shared" si="16"/>
        <v>0</v>
      </c>
      <c r="I187" s="755">
        <f>D187*'Emission Factors'!$G$69*0.001</f>
        <v>0</v>
      </c>
    </row>
    <row r="188" spans="1:9">
      <c r="A188" s="774"/>
      <c r="B188" s="763"/>
      <c r="C188" s="753">
        <f>(B188/'Emission Factors'!$B$88)/1000</f>
        <v>0</v>
      </c>
      <c r="D188" s="753">
        <f>'Emission Factors'!$B$69*C188</f>
        <v>0</v>
      </c>
      <c r="E188" s="1561">
        <f>'Emission Factors'!$C$69*D188/1000</f>
        <v>0</v>
      </c>
      <c r="F188" s="1561">
        <f>'Emission Factors'!$D$69*D188/1000</f>
        <v>0</v>
      </c>
      <c r="G188" s="1561">
        <f>'Emission Factors'!$E$69*D188/1000</f>
        <v>0</v>
      </c>
      <c r="H188" s="754">
        <f t="shared" si="16"/>
        <v>0</v>
      </c>
      <c r="I188" s="755">
        <f>D188*'Emission Factors'!$G$69*0.001</f>
        <v>0</v>
      </c>
    </row>
    <row r="189" spans="1:9">
      <c r="A189" s="774"/>
      <c r="B189" s="763"/>
      <c r="C189" s="753">
        <f>(B189/'Emission Factors'!$B$88)/1000</f>
        <v>0</v>
      </c>
      <c r="D189" s="753">
        <f>'Emission Factors'!$B$69*C189</f>
        <v>0</v>
      </c>
      <c r="E189" s="1561">
        <f>'Emission Factors'!$C$69*D189/1000</f>
        <v>0</v>
      </c>
      <c r="F189" s="1561">
        <f>'Emission Factors'!$D$69*D189/1000</f>
        <v>0</v>
      </c>
      <c r="G189" s="1561">
        <f>'Emission Factors'!$E$69*D189/1000</f>
        <v>0</v>
      </c>
      <c r="H189" s="754">
        <f t="shared" si="16"/>
        <v>0</v>
      </c>
      <c r="I189" s="755">
        <f>D189*'Emission Factors'!$G$69*0.001</f>
        <v>0</v>
      </c>
    </row>
    <row r="190" spans="1:9">
      <c r="A190" s="774"/>
      <c r="B190" s="763"/>
      <c r="C190" s="753">
        <f>(B190/'Emission Factors'!$B$88)/1000</f>
        <v>0</v>
      </c>
      <c r="D190" s="753">
        <f>'Emission Factors'!$B$69*C190</f>
        <v>0</v>
      </c>
      <c r="E190" s="1561">
        <f>'Emission Factors'!$C$69*D190/1000</f>
        <v>0</v>
      </c>
      <c r="F190" s="1561">
        <f>'Emission Factors'!$D$69*D190/1000</f>
        <v>0</v>
      </c>
      <c r="G190" s="1561">
        <f>'Emission Factors'!$E$69*D190/1000</f>
        <v>0</v>
      </c>
      <c r="H190" s="754">
        <f t="shared" si="16"/>
        <v>0</v>
      </c>
      <c r="I190" s="755">
        <f>D190*'Emission Factors'!$G$69*0.001</f>
        <v>0</v>
      </c>
    </row>
    <row r="191" spans="1:9">
      <c r="A191" s="774"/>
      <c r="B191" s="763"/>
      <c r="C191" s="753">
        <f>(B191/'Emission Factors'!$B$88)/1000</f>
        <v>0</v>
      </c>
      <c r="D191" s="753">
        <f>'Emission Factors'!$B$69*C191</f>
        <v>0</v>
      </c>
      <c r="E191" s="1561">
        <f>'Emission Factors'!$C$69*D191/1000</f>
        <v>0</v>
      </c>
      <c r="F191" s="1561">
        <f>'Emission Factors'!$D$69*D191/1000</f>
        <v>0</v>
      </c>
      <c r="G191" s="1561">
        <f>'Emission Factors'!$E$69*D191/1000</f>
        <v>0</v>
      </c>
      <c r="H191" s="754">
        <f t="shared" si="16"/>
        <v>0</v>
      </c>
      <c r="I191" s="755">
        <f>D191*'Emission Factors'!$G$69*0.001</f>
        <v>0</v>
      </c>
    </row>
    <row r="192" spans="1:9">
      <c r="A192" s="774"/>
      <c r="B192" s="763"/>
      <c r="C192" s="753">
        <f>(B192/'Emission Factors'!$B$88)/1000</f>
        <v>0</v>
      </c>
      <c r="D192" s="753">
        <f>'Emission Factors'!$B$69*C192</f>
        <v>0</v>
      </c>
      <c r="E192" s="1561">
        <f>'Emission Factors'!$C$69*D192/1000</f>
        <v>0</v>
      </c>
      <c r="F192" s="1561">
        <f>'Emission Factors'!$D$69*D192/1000</f>
        <v>0</v>
      </c>
      <c r="G192" s="1561">
        <f>'Emission Factors'!$E$69*D192/1000</f>
        <v>0</v>
      </c>
      <c r="H192" s="754">
        <f t="shared" si="16"/>
        <v>0</v>
      </c>
      <c r="I192" s="755">
        <f>D192*'Emission Factors'!$G$69*0.001</f>
        <v>0</v>
      </c>
    </row>
    <row r="193" spans="1:18" ht="16.5" thickBot="1">
      <c r="A193" s="774"/>
      <c r="B193" s="763"/>
      <c r="C193" s="753">
        <f>(B193/'Emission Factors'!$B$88)/1000</f>
        <v>0</v>
      </c>
      <c r="D193" s="753">
        <f>'Emission Factors'!$B$69*C193</f>
        <v>0</v>
      </c>
      <c r="E193" s="1561">
        <f>'Emission Factors'!$C$69*D193/1000</f>
        <v>0</v>
      </c>
      <c r="F193" s="1561">
        <f>'Emission Factors'!$D$69*D193/1000</f>
        <v>0</v>
      </c>
      <c r="G193" s="1561">
        <f>'Emission Factors'!$E$69*D193/1000</f>
        <v>0</v>
      </c>
      <c r="H193" s="771">
        <f t="shared" si="16"/>
        <v>0</v>
      </c>
      <c r="I193" s="755">
        <f>D193*'Emission Factors'!$G$69*0.001</f>
        <v>0</v>
      </c>
    </row>
    <row r="194" spans="1:18" ht="16.5" thickBot="1">
      <c r="A194" s="769"/>
      <c r="G194" s="760" t="s">
        <v>434</v>
      </c>
      <c r="H194" s="761">
        <f>SUM(H184:H193)</f>
        <v>0</v>
      </c>
      <c r="I194" s="762">
        <f>SUM(I184:I193)</f>
        <v>0</v>
      </c>
    </row>
    <row r="196" spans="1:18" s="740" customFormat="1" ht="36">
      <c r="A196" s="1993" t="s">
        <v>472</v>
      </c>
      <c r="B196" s="1994"/>
      <c r="C196" s="1994"/>
      <c r="D196" s="1994"/>
      <c r="E196" s="1994"/>
      <c r="F196" s="1994"/>
      <c r="G196" s="1994"/>
      <c r="H196" s="1994"/>
      <c r="I196" s="1994"/>
      <c r="J196" s="1994"/>
      <c r="K196" s="1994"/>
      <c r="L196" s="1994"/>
      <c r="M196" s="1994"/>
      <c r="N196" s="1994"/>
      <c r="O196" s="1994"/>
      <c r="P196" s="1994"/>
      <c r="Q196" s="1994"/>
      <c r="R196" s="1994"/>
    </row>
    <row r="197" spans="1:18" s="743" customFormat="1" ht="24" thickBot="1">
      <c r="A197" s="2004" t="s">
        <v>496</v>
      </c>
      <c r="B197" s="2005"/>
      <c r="C197" s="2006"/>
      <c r="D197" s="2007" t="s">
        <v>427</v>
      </c>
      <c r="E197" s="2008"/>
      <c r="F197" s="759"/>
      <c r="G197" s="742"/>
      <c r="H197" s="742"/>
      <c r="I197" s="742"/>
      <c r="J197" s="742"/>
      <c r="K197" s="742"/>
      <c r="L197" s="742"/>
      <c r="M197" s="742"/>
      <c r="N197" s="766"/>
      <c r="P197" s="767"/>
    </row>
    <row r="198" spans="1:18" ht="18.75">
      <c r="E198" s="744"/>
      <c r="F198" s="744"/>
      <c r="G198" s="744"/>
      <c r="H198" s="745" t="s">
        <v>62</v>
      </c>
      <c r="I198" s="746" t="s">
        <v>92</v>
      </c>
    </row>
    <row r="199" spans="1:18" ht="110.45" customHeight="1">
      <c r="A199" s="747" t="s">
        <v>428</v>
      </c>
      <c r="B199" s="747" t="s">
        <v>497</v>
      </c>
      <c r="C199" s="748" t="s">
        <v>474</v>
      </c>
      <c r="D199" s="748" t="s">
        <v>448</v>
      </c>
      <c r="E199" s="748" t="s">
        <v>420</v>
      </c>
      <c r="F199" s="748" t="s">
        <v>431</v>
      </c>
      <c r="G199" s="748" t="s">
        <v>432</v>
      </c>
      <c r="H199" s="749" t="s">
        <v>420</v>
      </c>
      <c r="I199" s="750" t="s">
        <v>420</v>
      </c>
    </row>
    <row r="200" spans="1:18">
      <c r="A200" s="751"/>
      <c r="B200" s="770"/>
      <c r="C200" s="753">
        <f>B200/1000</f>
        <v>0</v>
      </c>
      <c r="D200" s="753">
        <f>'Emission Factors'!$B$61*C200</f>
        <v>0</v>
      </c>
      <c r="E200" s="753">
        <f>D200*'Emission Factors'!$C$61*0.001</f>
        <v>0</v>
      </c>
      <c r="F200" s="753">
        <f>D200*'Emission Factors'!$D$61*0.001</f>
        <v>0</v>
      </c>
      <c r="G200" s="753">
        <f>D200*'Emission Factors'!$E$61*0.001</f>
        <v>0</v>
      </c>
      <c r="H200" s="754">
        <f t="shared" ref="H200:H209" si="17">E200+F200+G200</f>
        <v>0</v>
      </c>
      <c r="I200" s="755">
        <f>D200*'Emission Factors'!$G$61*0.001</f>
        <v>0</v>
      </c>
    </row>
    <row r="201" spans="1:18">
      <c r="A201" s="751"/>
      <c r="B201" s="770"/>
      <c r="C201" s="753">
        <f t="shared" ref="C201:C208" si="18">B201/1000</f>
        <v>0</v>
      </c>
      <c r="D201" s="753">
        <f>'Emission Factors'!$B$61*C201</f>
        <v>0</v>
      </c>
      <c r="E201" s="753">
        <f>D201*'Emission Factors'!$C$61*0.001</f>
        <v>0</v>
      </c>
      <c r="F201" s="753">
        <f>D201*'Emission Factors'!$D$61*0.001</f>
        <v>0</v>
      </c>
      <c r="G201" s="753">
        <f>D201*'Emission Factors'!$E$61*0.001</f>
        <v>0</v>
      </c>
      <c r="H201" s="754">
        <f t="shared" si="17"/>
        <v>0</v>
      </c>
      <c r="I201" s="755">
        <f>D201*'Emission Factors'!$G$61*0.001</f>
        <v>0</v>
      </c>
    </row>
    <row r="202" spans="1:18">
      <c r="A202" s="751"/>
      <c r="B202" s="770"/>
      <c r="C202" s="753">
        <f t="shared" si="18"/>
        <v>0</v>
      </c>
      <c r="D202" s="753">
        <f>'Emission Factors'!$B$61*C202</f>
        <v>0</v>
      </c>
      <c r="E202" s="753">
        <f>D202*'Emission Factors'!$C$61*0.001</f>
        <v>0</v>
      </c>
      <c r="F202" s="753">
        <f>D202*'Emission Factors'!$D$61*0.001</f>
        <v>0</v>
      </c>
      <c r="G202" s="753">
        <f>D202*'Emission Factors'!$E$61*0.001</f>
        <v>0</v>
      </c>
      <c r="H202" s="754">
        <f t="shared" si="17"/>
        <v>0</v>
      </c>
      <c r="I202" s="755">
        <f>D202*'Emission Factors'!$G$61*0.001</f>
        <v>0</v>
      </c>
    </row>
    <row r="203" spans="1:18">
      <c r="A203" s="751"/>
      <c r="B203" s="770"/>
      <c r="C203" s="753">
        <f t="shared" si="18"/>
        <v>0</v>
      </c>
      <c r="D203" s="753">
        <f>'Emission Factors'!$B$61*C203</f>
        <v>0</v>
      </c>
      <c r="E203" s="753">
        <f>D203*'Emission Factors'!$C$61*0.001</f>
        <v>0</v>
      </c>
      <c r="F203" s="753">
        <f>D203*'Emission Factors'!$D$61*0.001</f>
        <v>0</v>
      </c>
      <c r="G203" s="753">
        <f>D203*'Emission Factors'!$E$61*0.001</f>
        <v>0</v>
      </c>
      <c r="H203" s="754">
        <f t="shared" si="17"/>
        <v>0</v>
      </c>
      <c r="I203" s="755">
        <f>D203*'Emission Factors'!$G$61*0.001</f>
        <v>0</v>
      </c>
    </row>
    <row r="204" spans="1:18">
      <c r="A204" s="751"/>
      <c r="B204" s="770"/>
      <c r="C204" s="753">
        <f t="shared" si="18"/>
        <v>0</v>
      </c>
      <c r="D204" s="753">
        <f>'Emission Factors'!$B$61*C204</f>
        <v>0</v>
      </c>
      <c r="E204" s="753">
        <f>D204*'Emission Factors'!$C$61*0.001</f>
        <v>0</v>
      </c>
      <c r="F204" s="753">
        <f>D204*'Emission Factors'!$D$61*0.001</f>
        <v>0</v>
      </c>
      <c r="G204" s="753">
        <f>D204*'Emission Factors'!$E$61*0.001</f>
        <v>0</v>
      </c>
      <c r="H204" s="754">
        <f t="shared" si="17"/>
        <v>0</v>
      </c>
      <c r="I204" s="755">
        <f>D204*'Emission Factors'!$G$61*0.001</f>
        <v>0</v>
      </c>
    </row>
    <row r="205" spans="1:18">
      <c r="A205" s="751"/>
      <c r="B205" s="770"/>
      <c r="C205" s="753">
        <f t="shared" si="18"/>
        <v>0</v>
      </c>
      <c r="D205" s="753">
        <f>'Emission Factors'!$B$61*C205</f>
        <v>0</v>
      </c>
      <c r="E205" s="753">
        <f>D205*'Emission Factors'!$C$61*0.001</f>
        <v>0</v>
      </c>
      <c r="F205" s="753">
        <f>D205*'Emission Factors'!$D$61*0.001</f>
        <v>0</v>
      </c>
      <c r="G205" s="753">
        <f>D205*'Emission Factors'!$E$61*0.001</f>
        <v>0</v>
      </c>
      <c r="H205" s="754">
        <f t="shared" si="17"/>
        <v>0</v>
      </c>
      <c r="I205" s="755">
        <f>D205*'Emission Factors'!$G$61*0.001</f>
        <v>0</v>
      </c>
    </row>
    <row r="206" spans="1:18">
      <c r="A206" s="751"/>
      <c r="B206" s="770"/>
      <c r="C206" s="753">
        <f t="shared" si="18"/>
        <v>0</v>
      </c>
      <c r="D206" s="753">
        <f>'Emission Factors'!$B$61*C206</f>
        <v>0</v>
      </c>
      <c r="E206" s="753">
        <f>D206*'Emission Factors'!$C$61*0.001</f>
        <v>0</v>
      </c>
      <c r="F206" s="753">
        <f>D206*'Emission Factors'!$D$61*0.001</f>
        <v>0</v>
      </c>
      <c r="G206" s="753">
        <f>D206*'Emission Factors'!$E$61*0.001</f>
        <v>0</v>
      </c>
      <c r="H206" s="754">
        <f t="shared" si="17"/>
        <v>0</v>
      </c>
      <c r="I206" s="755">
        <f>D206*'Emission Factors'!$G$61*0.001</f>
        <v>0</v>
      </c>
    </row>
    <row r="207" spans="1:18">
      <c r="A207" s="751"/>
      <c r="B207" s="770"/>
      <c r="C207" s="753">
        <f t="shared" si="18"/>
        <v>0</v>
      </c>
      <c r="D207" s="753">
        <f>'Emission Factors'!$B$61*C207</f>
        <v>0</v>
      </c>
      <c r="E207" s="753">
        <f>D207*'Emission Factors'!$C$61*0.001</f>
        <v>0</v>
      </c>
      <c r="F207" s="753">
        <f>D207*'Emission Factors'!$D$61*0.001</f>
        <v>0</v>
      </c>
      <c r="G207" s="753">
        <f>D207*'Emission Factors'!$E$61*0.001</f>
        <v>0</v>
      </c>
      <c r="H207" s="754">
        <f t="shared" si="17"/>
        <v>0</v>
      </c>
      <c r="I207" s="755">
        <f>D207*'Emission Factors'!$G$61*0.001</f>
        <v>0</v>
      </c>
    </row>
    <row r="208" spans="1:18">
      <c r="A208" s="751"/>
      <c r="B208" s="770"/>
      <c r="C208" s="753">
        <f t="shared" si="18"/>
        <v>0</v>
      </c>
      <c r="D208" s="753">
        <f>'Emission Factors'!$B$61*C208</f>
        <v>0</v>
      </c>
      <c r="E208" s="753">
        <f>D208*'Emission Factors'!$C$61*0.001</f>
        <v>0</v>
      </c>
      <c r="F208" s="753">
        <f>D208*'Emission Factors'!$D$61*0.001</f>
        <v>0</v>
      </c>
      <c r="G208" s="753">
        <f>D208*'Emission Factors'!$E$61*0.001</f>
        <v>0</v>
      </c>
      <c r="H208" s="754">
        <f t="shared" si="17"/>
        <v>0</v>
      </c>
      <c r="I208" s="755">
        <f>D208*'Emission Factors'!$G$61*0.001</f>
        <v>0</v>
      </c>
    </row>
    <row r="209" spans="1:16" ht="16.5" thickBot="1">
      <c r="A209" s="751"/>
      <c r="B209" s="770"/>
      <c r="C209" s="753">
        <f>B209/1000</f>
        <v>0</v>
      </c>
      <c r="D209" s="753">
        <f>'Emission Factors'!$B$61*C209</f>
        <v>0</v>
      </c>
      <c r="E209" s="753">
        <f>D209*'Emission Factors'!$C$61*0.001</f>
        <v>0</v>
      </c>
      <c r="F209" s="753">
        <f>D209*'Emission Factors'!$D$61*0.001</f>
        <v>0</v>
      </c>
      <c r="G209" s="753">
        <f>D209*'Emission Factors'!$E$61*0.001</f>
        <v>0</v>
      </c>
      <c r="H209" s="771">
        <f t="shared" si="17"/>
        <v>0</v>
      </c>
      <c r="I209" s="755">
        <f>D209*'Emission Factors'!$G$61*0.001</f>
        <v>0</v>
      </c>
    </row>
    <row r="210" spans="1:16" s="743" customFormat="1" ht="24" thickBot="1">
      <c r="A210" s="758" t="s">
        <v>435</v>
      </c>
      <c r="G210" s="760" t="s">
        <v>434</v>
      </c>
      <c r="H210" s="761">
        <f>SUM(H200:H209)</f>
        <v>0</v>
      </c>
      <c r="I210" s="762">
        <f>SUM(I200:I209)</f>
        <v>0</v>
      </c>
    </row>
    <row r="211" spans="1:16" s="743" customFormat="1" ht="24" customHeight="1" thickBot="1">
      <c r="A211" s="2004" t="s">
        <v>498</v>
      </c>
      <c r="B211" s="2005"/>
      <c r="C211" s="2006"/>
      <c r="D211" s="2007" t="s">
        <v>427</v>
      </c>
      <c r="E211" s="2008"/>
      <c r="F211" s="759"/>
      <c r="G211" s="742"/>
      <c r="H211" s="742"/>
      <c r="I211" s="742"/>
      <c r="J211" s="742"/>
      <c r="K211" s="742"/>
      <c r="L211" s="742"/>
      <c r="M211" s="742"/>
      <c r="N211" s="766"/>
      <c r="P211" s="767"/>
    </row>
    <row r="212" spans="1:16" ht="18.75">
      <c r="E212" s="744"/>
      <c r="F212" s="744"/>
      <c r="G212" s="744"/>
      <c r="H212" s="745" t="s">
        <v>62</v>
      </c>
      <c r="I212" s="746" t="s">
        <v>92</v>
      </c>
    </row>
    <row r="213" spans="1:16" ht="110.45" customHeight="1">
      <c r="A213" s="747" t="s">
        <v>428</v>
      </c>
      <c r="B213" s="747" t="s">
        <v>499</v>
      </c>
      <c r="C213" s="748" t="s">
        <v>474</v>
      </c>
      <c r="D213" s="748" t="s">
        <v>448</v>
      </c>
      <c r="E213" s="748" t="s">
        <v>420</v>
      </c>
      <c r="F213" s="748" t="s">
        <v>431</v>
      </c>
      <c r="G213" s="748" t="s">
        <v>432</v>
      </c>
      <c r="H213" s="749" t="s">
        <v>420</v>
      </c>
      <c r="I213" s="750" t="s">
        <v>420</v>
      </c>
    </row>
    <row r="214" spans="1:16">
      <c r="A214" s="751"/>
      <c r="B214" s="770"/>
      <c r="C214" s="753">
        <f>B214/1000</f>
        <v>0</v>
      </c>
      <c r="D214" s="753">
        <f>'Emission Factors'!$B$63*C214</f>
        <v>0</v>
      </c>
      <c r="E214" s="753">
        <f>D214*'Emission Factors'!$C$63*0.001</f>
        <v>0</v>
      </c>
      <c r="F214" s="753">
        <f>E214*'Emission Factors'!$D$63*0.001</f>
        <v>0</v>
      </c>
      <c r="G214" s="753">
        <f>F214*'Emission Factors'!$E$63*0.001</f>
        <v>0</v>
      </c>
      <c r="H214" s="754">
        <f t="shared" ref="H214:H223" si="19">E214+F214+G214</f>
        <v>0</v>
      </c>
      <c r="I214" s="755">
        <f>D214*'Emission Factors'!$G$63*0.001</f>
        <v>0</v>
      </c>
    </row>
    <row r="215" spans="1:16">
      <c r="A215" s="751"/>
      <c r="B215" s="770"/>
      <c r="C215" s="753">
        <f t="shared" ref="C215:C222" si="20">B215/1000</f>
        <v>0</v>
      </c>
      <c r="D215" s="753">
        <f>'Emission Factors'!$B$63*C215</f>
        <v>0</v>
      </c>
      <c r="E215" s="753">
        <f>D215*'Emission Factors'!$C$63*0.001</f>
        <v>0</v>
      </c>
      <c r="F215" s="753">
        <f>E215*'Emission Factors'!$D$63*0.001</f>
        <v>0</v>
      </c>
      <c r="G215" s="753">
        <f>F215*'Emission Factors'!$E$63*0.001</f>
        <v>0</v>
      </c>
      <c r="H215" s="754">
        <f t="shared" si="19"/>
        <v>0</v>
      </c>
      <c r="I215" s="755">
        <f>D215*'Emission Factors'!$G$63*0.001</f>
        <v>0</v>
      </c>
    </row>
    <row r="216" spans="1:16">
      <c r="A216" s="751"/>
      <c r="B216" s="770"/>
      <c r="C216" s="753">
        <f t="shared" si="20"/>
        <v>0</v>
      </c>
      <c r="D216" s="753">
        <f>'Emission Factors'!$B$63*C216</f>
        <v>0</v>
      </c>
      <c r="E216" s="753">
        <f>D216*'Emission Factors'!$C$63*0.001</f>
        <v>0</v>
      </c>
      <c r="F216" s="753">
        <f>E216*'Emission Factors'!$D$63*0.001</f>
        <v>0</v>
      </c>
      <c r="G216" s="753">
        <f>F216*'Emission Factors'!$E$63*0.001</f>
        <v>0</v>
      </c>
      <c r="H216" s="754">
        <f t="shared" si="19"/>
        <v>0</v>
      </c>
      <c r="I216" s="755">
        <f>D216*'Emission Factors'!$G$63*0.001</f>
        <v>0</v>
      </c>
    </row>
    <row r="217" spans="1:16">
      <c r="A217" s="751"/>
      <c r="B217" s="770"/>
      <c r="C217" s="753">
        <f t="shared" si="20"/>
        <v>0</v>
      </c>
      <c r="D217" s="753">
        <f>'Emission Factors'!$B$63*C217</f>
        <v>0</v>
      </c>
      <c r="E217" s="753">
        <f>D217*'Emission Factors'!$C$63*0.001</f>
        <v>0</v>
      </c>
      <c r="F217" s="753">
        <f>E217*'Emission Factors'!$D$63*0.001</f>
        <v>0</v>
      </c>
      <c r="G217" s="753">
        <f>F217*'Emission Factors'!$E$63*0.001</f>
        <v>0</v>
      </c>
      <c r="H217" s="754">
        <f t="shared" si="19"/>
        <v>0</v>
      </c>
      <c r="I217" s="755">
        <f>D217*'Emission Factors'!$G$63*0.001</f>
        <v>0</v>
      </c>
    </row>
    <row r="218" spans="1:16">
      <c r="A218" s="751"/>
      <c r="B218" s="770"/>
      <c r="C218" s="753">
        <f t="shared" si="20"/>
        <v>0</v>
      </c>
      <c r="D218" s="753">
        <f>'Emission Factors'!$B$63*C218</f>
        <v>0</v>
      </c>
      <c r="E218" s="753">
        <f>D218*'Emission Factors'!$C$63*0.001</f>
        <v>0</v>
      </c>
      <c r="F218" s="753">
        <f>E218*'Emission Factors'!$D$63*0.001</f>
        <v>0</v>
      </c>
      <c r="G218" s="753">
        <f>F218*'Emission Factors'!$E$63*0.001</f>
        <v>0</v>
      </c>
      <c r="H218" s="754">
        <f t="shared" si="19"/>
        <v>0</v>
      </c>
      <c r="I218" s="755">
        <f>D218*'Emission Factors'!$G$63*0.001</f>
        <v>0</v>
      </c>
    </row>
    <row r="219" spans="1:16">
      <c r="A219" s="751"/>
      <c r="B219" s="770"/>
      <c r="C219" s="753">
        <f t="shared" si="20"/>
        <v>0</v>
      </c>
      <c r="D219" s="753">
        <f>'Emission Factors'!$B$63*C219</f>
        <v>0</v>
      </c>
      <c r="E219" s="753">
        <f>D219*'Emission Factors'!$C$63*0.001</f>
        <v>0</v>
      </c>
      <c r="F219" s="753">
        <f>E219*'Emission Factors'!$D$63*0.001</f>
        <v>0</v>
      </c>
      <c r="G219" s="753">
        <f>F219*'Emission Factors'!$E$63*0.001</f>
        <v>0</v>
      </c>
      <c r="H219" s="754">
        <f t="shared" si="19"/>
        <v>0</v>
      </c>
      <c r="I219" s="755">
        <f>D219*'Emission Factors'!$G$63*0.001</f>
        <v>0</v>
      </c>
    </row>
    <row r="220" spans="1:16">
      <c r="A220" s="751"/>
      <c r="B220" s="770"/>
      <c r="C220" s="753">
        <f t="shared" si="20"/>
        <v>0</v>
      </c>
      <c r="D220" s="753">
        <f>'Emission Factors'!$B$63*C220</f>
        <v>0</v>
      </c>
      <c r="E220" s="753">
        <f>D220*'Emission Factors'!$C$63*0.001</f>
        <v>0</v>
      </c>
      <c r="F220" s="753">
        <f>E220*'Emission Factors'!$D$63*0.001</f>
        <v>0</v>
      </c>
      <c r="G220" s="753">
        <f>F220*'Emission Factors'!$E$63*0.001</f>
        <v>0</v>
      </c>
      <c r="H220" s="754">
        <f t="shared" si="19"/>
        <v>0</v>
      </c>
      <c r="I220" s="755">
        <f>D220*'Emission Factors'!$G$63*0.001</f>
        <v>0</v>
      </c>
    </row>
    <row r="221" spans="1:16">
      <c r="A221" s="751"/>
      <c r="B221" s="770"/>
      <c r="C221" s="753">
        <f t="shared" si="20"/>
        <v>0</v>
      </c>
      <c r="D221" s="753">
        <f>'Emission Factors'!$B$63*C221</f>
        <v>0</v>
      </c>
      <c r="E221" s="753">
        <f>D221*'Emission Factors'!$C$63*0.001</f>
        <v>0</v>
      </c>
      <c r="F221" s="753">
        <f>E221*'Emission Factors'!$D$63*0.001</f>
        <v>0</v>
      </c>
      <c r="G221" s="753">
        <f>F221*'Emission Factors'!$E$63*0.001</f>
        <v>0</v>
      </c>
      <c r="H221" s="754">
        <f t="shared" si="19"/>
        <v>0</v>
      </c>
      <c r="I221" s="755">
        <f>D221*'Emission Factors'!$G$63*0.001</f>
        <v>0</v>
      </c>
    </row>
    <row r="222" spans="1:16">
      <c r="A222" s="751"/>
      <c r="B222" s="770"/>
      <c r="C222" s="753">
        <f t="shared" si="20"/>
        <v>0</v>
      </c>
      <c r="D222" s="753">
        <f>'Emission Factors'!$B$63*C222</f>
        <v>0</v>
      </c>
      <c r="E222" s="753">
        <f>D222*'Emission Factors'!$C$63*0.001</f>
        <v>0</v>
      </c>
      <c r="F222" s="753">
        <f>E222*'Emission Factors'!$D$63*0.001</f>
        <v>0</v>
      </c>
      <c r="G222" s="753">
        <f>F222*'Emission Factors'!$E$63*0.001</f>
        <v>0</v>
      </c>
      <c r="H222" s="754">
        <f t="shared" si="19"/>
        <v>0</v>
      </c>
      <c r="I222" s="755">
        <f>D222*'Emission Factors'!$G$63*0.001</f>
        <v>0</v>
      </c>
    </row>
    <row r="223" spans="1:16" ht="16.5" thickBot="1">
      <c r="A223" s="751"/>
      <c r="B223" s="770"/>
      <c r="C223" s="753">
        <f>B223/1000</f>
        <v>0</v>
      </c>
      <c r="D223" s="753">
        <f>'Emission Factors'!$B$63*C223</f>
        <v>0</v>
      </c>
      <c r="E223" s="753">
        <f>D223*'Emission Factors'!$C$63*0.001</f>
        <v>0</v>
      </c>
      <c r="F223" s="753">
        <f>E223*'Emission Factors'!$D$63*0.001</f>
        <v>0</v>
      </c>
      <c r="G223" s="753">
        <f>F223*'Emission Factors'!$E$63*0.001</f>
        <v>0</v>
      </c>
      <c r="H223" s="771">
        <f t="shared" si="19"/>
        <v>0</v>
      </c>
      <c r="I223" s="755">
        <f>D223*'Emission Factors'!$G$63*0.001</f>
        <v>0</v>
      </c>
    </row>
    <row r="224" spans="1:16" ht="16.5" thickBot="1">
      <c r="G224" s="760" t="s">
        <v>434</v>
      </c>
      <c r="H224" s="761">
        <f>SUM(H214:H223)</f>
        <v>0</v>
      </c>
      <c r="I224" s="762">
        <f>SUM(I214:I223)</f>
        <v>0</v>
      </c>
    </row>
    <row r="226" spans="1:5" ht="24" thickBot="1">
      <c r="A226" s="2004" t="s">
        <v>500</v>
      </c>
      <c r="B226" s="2005"/>
      <c r="C226" s="2006"/>
      <c r="D226" s="2012" t="s">
        <v>427</v>
      </c>
      <c r="E226" s="2013"/>
    </row>
    <row r="227" spans="1:5" ht="18.75">
      <c r="A227" s="765"/>
      <c r="B227" s="765"/>
      <c r="C227" s="765"/>
      <c r="D227" s="777" t="s">
        <v>62</v>
      </c>
      <c r="E227" s="778" t="s">
        <v>92</v>
      </c>
    </row>
    <row r="228" spans="1:5" ht="56.25">
      <c r="A228" s="747" t="s">
        <v>501</v>
      </c>
      <c r="B228" s="747" t="s">
        <v>502</v>
      </c>
      <c r="C228" s="779" t="s">
        <v>503</v>
      </c>
      <c r="D228" s="780" t="s">
        <v>504</v>
      </c>
      <c r="E228" s="781" t="s">
        <v>505</v>
      </c>
    </row>
    <row r="229" spans="1:5">
      <c r="A229" s="708" t="s">
        <v>506</v>
      </c>
      <c r="B229" s="782"/>
      <c r="C229" s="783">
        <v>480.185</v>
      </c>
      <c r="D229" s="784">
        <f>B229*C229*0.001</f>
        <v>0</v>
      </c>
      <c r="E229" s="755">
        <f>SUM(B229*'Emission Factors'!$K$55)*0.001</f>
        <v>0</v>
      </c>
    </row>
    <row r="230" spans="1:5" ht="31.5">
      <c r="A230" s="708" t="s">
        <v>507</v>
      </c>
      <c r="B230" s="782"/>
      <c r="C230" s="783">
        <v>496.51799999999997</v>
      </c>
      <c r="D230" s="784">
        <f t="shared" ref="D230:D238" si="21">B230*C230*0.001</f>
        <v>0</v>
      </c>
      <c r="E230" s="755">
        <f>SUM(B230*'Emission Factors'!$K$55)*0.001</f>
        <v>0</v>
      </c>
    </row>
    <row r="231" spans="1:5">
      <c r="A231" s="708" t="s">
        <v>508</v>
      </c>
      <c r="B231" s="782"/>
      <c r="C231" s="783">
        <v>191.01599999999999</v>
      </c>
      <c r="D231" s="784">
        <f t="shared" si="21"/>
        <v>0</v>
      </c>
      <c r="E231" s="755">
        <f>SUM(B231*'Emission Factors'!$K$55)*0.001</f>
        <v>0</v>
      </c>
    </row>
    <row r="232" spans="1:5">
      <c r="A232" s="708" t="s">
        <v>509</v>
      </c>
      <c r="B232" s="782"/>
      <c r="C232" s="783">
        <v>130.69499999999999</v>
      </c>
      <c r="D232" s="784">
        <f t="shared" si="21"/>
        <v>0</v>
      </c>
      <c r="E232" s="755">
        <f>SUM(B232*'Emission Factors'!$K$55)*0.001</f>
        <v>0</v>
      </c>
    </row>
    <row r="233" spans="1:5">
      <c r="A233" s="708" t="s">
        <v>510</v>
      </c>
      <c r="B233" s="782"/>
      <c r="C233" s="783">
        <v>329.923</v>
      </c>
      <c r="D233" s="784">
        <f t="shared" si="21"/>
        <v>0</v>
      </c>
      <c r="E233" s="755">
        <f>SUM(B233*'Emission Factors'!$K$55)*0.001</f>
        <v>0</v>
      </c>
    </row>
    <row r="234" spans="1:5">
      <c r="A234" s="751"/>
      <c r="B234" s="782"/>
      <c r="C234" s="782"/>
      <c r="D234" s="784">
        <f>B234*C234*0.001</f>
        <v>0</v>
      </c>
      <c r="E234" s="755">
        <f>SUM(B235*'Emission Factors'!$K$55)*0.001</f>
        <v>0</v>
      </c>
    </row>
    <row r="235" spans="1:5">
      <c r="A235" s="751"/>
      <c r="B235" s="782"/>
      <c r="C235" s="782"/>
      <c r="D235" s="784">
        <f t="shared" si="21"/>
        <v>0</v>
      </c>
      <c r="E235" s="755">
        <f>SUM(B236*'Emission Factors'!$K$55)*0.001</f>
        <v>0</v>
      </c>
    </row>
    <row r="236" spans="1:5">
      <c r="A236" s="751"/>
      <c r="B236" s="782"/>
      <c r="C236" s="782"/>
      <c r="D236" s="784">
        <f t="shared" si="21"/>
        <v>0</v>
      </c>
      <c r="E236" s="755">
        <f>SUM(B237*'Emission Factors'!$K$55)*0.001</f>
        <v>0</v>
      </c>
    </row>
    <row r="237" spans="1:5">
      <c r="A237" s="751"/>
      <c r="B237" s="782"/>
      <c r="C237" s="782"/>
      <c r="D237" s="784">
        <f t="shared" si="21"/>
        <v>0</v>
      </c>
      <c r="E237" s="755">
        <f>SUM(B238*'Emission Factors'!$K$55)*0.001</f>
        <v>0</v>
      </c>
    </row>
    <row r="238" spans="1:5" ht="16.5" thickBot="1">
      <c r="A238" s="751"/>
      <c r="B238" s="782"/>
      <c r="C238" s="785"/>
      <c r="D238" s="786">
        <f t="shared" si="21"/>
        <v>0</v>
      </c>
      <c r="E238" s="757">
        <f>SUM(B239*'Emission Factors'!$K$55)*0.001</f>
        <v>0</v>
      </c>
    </row>
    <row r="239" spans="1:5" s="765" customFormat="1" ht="16.5" thickBot="1">
      <c r="C239" s="760" t="s">
        <v>434</v>
      </c>
      <c r="D239" s="761">
        <f>SUM(D229:D238)</f>
        <v>0</v>
      </c>
      <c r="E239" s="787">
        <f>SUM(E229:E238)</f>
        <v>0</v>
      </c>
    </row>
    <row r="240" spans="1:5" ht="18.75">
      <c r="A240" s="788" t="s">
        <v>511</v>
      </c>
    </row>
    <row r="241" spans="1:1" ht="18.75">
      <c r="A241" s="788" t="s">
        <v>512</v>
      </c>
    </row>
    <row r="242" spans="1:1" ht="18.75">
      <c r="A242" s="788" t="s">
        <v>513</v>
      </c>
    </row>
  </sheetData>
  <sheetProtection selectLockedCells="1"/>
  <mergeCells count="39">
    <mergeCell ref="A29:C29"/>
    <mergeCell ref="A226:C226"/>
    <mergeCell ref="D226:E226"/>
    <mergeCell ref="B1:F1"/>
    <mergeCell ref="H1:M1"/>
    <mergeCell ref="A14:C14"/>
    <mergeCell ref="D14:E14"/>
    <mergeCell ref="A13:R13"/>
    <mergeCell ref="D181:E181"/>
    <mergeCell ref="A91:C91"/>
    <mergeCell ref="A136:C136"/>
    <mergeCell ref="A150:C150"/>
    <mergeCell ref="D150:E150"/>
    <mergeCell ref="A181:C181"/>
    <mergeCell ref="A166:C166"/>
    <mergeCell ref="D166:E166"/>
    <mergeCell ref="A135:R135"/>
    <mergeCell ref="A60:C60"/>
    <mergeCell ref="D60:E60"/>
    <mergeCell ref="A105:C105"/>
    <mergeCell ref="D105:E105"/>
    <mergeCell ref="A121:C121"/>
    <mergeCell ref="D121:E121"/>
    <mergeCell ref="A45:C45"/>
    <mergeCell ref="D45:E45"/>
    <mergeCell ref="D91:E91"/>
    <mergeCell ref="A30:C30"/>
    <mergeCell ref="D30:E30"/>
    <mergeCell ref="A76:C76"/>
    <mergeCell ref="D76:E76"/>
    <mergeCell ref="A75:R75"/>
    <mergeCell ref="A90:C90"/>
    <mergeCell ref="A165:R165"/>
    <mergeCell ref="D136:E136"/>
    <mergeCell ref="A211:C211"/>
    <mergeCell ref="D211:E211"/>
    <mergeCell ref="A197:C197"/>
    <mergeCell ref="D197:E197"/>
    <mergeCell ref="A196:R196"/>
  </mergeCells>
  <hyperlinks>
    <hyperlink ref="B179" r:id="rId1" xr:uid="{8FD38EC4-82C5-4267-B1EB-4FE14585EFAD}"/>
  </hyperlinks>
  <pageMargins left="0.7" right="0.7" top="0.75" bottom="0.75" header="0.3" footer="0.3"/>
  <pageSetup orientation="portrait" horizontalDpi="4294967293" verticalDpi="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6eb3737-d781-4d91-b9cc-0e75405b8ff0">
      <UserInfo>
        <DisplayName>André Meinhard</DisplayName>
        <AccountId>20</AccountId>
        <AccountType/>
      </UserInfo>
      <UserInfo>
        <DisplayName>SharingLinks.d5771b6a-3566-4289-bb87-6d7188f5d636.OrganizationEdit.3a4a7628-f7e2-42bf-b094-c37b43a6dcda</DisplayName>
        <AccountId>216</AccountId>
        <AccountType/>
      </UserInfo>
      <UserInfo>
        <DisplayName>SharingLinks.949c7185-e468-485a-8647-ef2fb96e4169.OrganizationEdit.069447ad-b0f7-4f79-99b4-0ba77cf453cd</DisplayName>
        <AccountId>125</AccountId>
        <AccountType/>
      </UserInfo>
      <UserInfo>
        <DisplayName>SharingLinks.0212da3b-b5fe-4ab5-b72c-0b0fca420cb2.OrganizationEdit.b3b218cb-cad3-4515-a1db-5e18ae2eea09</DisplayName>
        <AccountId>14</AccountId>
        <AccountType/>
      </UserInfo>
      <UserInfo>
        <DisplayName>Paul Lardon</DisplayName>
        <AccountId>45</AccountId>
        <AccountType/>
      </UserInfo>
    </SharedWithUsers>
    <MediaLengthInSeconds xmlns="439c6990-dae6-468d-854b-dd7a2aa5af7f" xsi:nil="true"/>
    <lcf76f155ced4ddcb4097134ff3c332f xmlns="439c6990-dae6-468d-854b-dd7a2aa5af7f">
      <Terms xmlns="http://schemas.microsoft.com/office/infopath/2007/PartnerControls"/>
    </lcf76f155ced4ddcb4097134ff3c332f>
    <TaxCatchAll xmlns="a6eb3737-d781-4d91-b9cc-0e75405b8ff0" xsi:nil="true"/>
    <margit xmlns="439c6990-dae6-468d-854b-dd7a2aa5af7f">
      <UserInfo>
        <DisplayName/>
        <AccountId xsi:nil="true"/>
        <AccountType/>
      </UserInfo>
    </margit>
  </documentManagement>
</p:properties>
</file>

<file path=customXml/item2.xml>��< ? x m l   v e r s i o n = " 1 . 0 "   e n c o d i n g = " U T F - 1 6 "   s t a n d a l o n e = " n o " ? > < D a t a M a s h u p   x m l n s = " h t t p : / / s c h e m a s . m i c r o s o f t . c o m / D a t a M a s h u p " > A A A A A H A 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Z q Q p N K 0 A A A D 3 A A A A E g A A A E N v b m Z p Z y 9 Q Y W N r Y W d l L n h t b H q / e 7 + N f U V u j k J Z a l F x Z n 6 e r Z K h n o G S Q n F J Y l 5 K Y k 5 + X q q t U l 6 + k r 0 d L 5 d N Q G J y d m J 6 q g J Q d V 6 x V U V x i q 1 S R k l J g Z W + f n l 5 u V 6 5 s V 5 + U b q + k Y G B o X 6 E r 0 9 w c k Z q b q I S X H E m Y c W 6 m X k g a 5 N T l e x s w i C u s T P S M z Q y 0 z M y M t c z s N G H C d r 4 Z u Y h F B g B H Q y S R R K 0 c S 7 N K S k t S r V L S d X 1 D L H R h 3 F t 9 K F + s A M A A A D / / w M A U E s D B B Q A A g A I A A A A I Q D + V d H Q f w E A A P 4 C A A A T A A A A R m 9 y b X V s Y X M v U 2 V j d G l v b j E u b X y Q 3 U r D Q B C F 7 w u + w x B v W g j F 1 n 9 L L y R a F S k q r Q i 2 J W z T q Q l u d m R n g i 2 l b + M z + A K + m B u j 1 o v E v V n 2 m 5 0 z 5 w x j J A k Z G B R 3 q 1 O r c a w s z m D b G 4 j K m b J L i C i d Z p y / P O i C R t m q g T t 3 G W q N j p w v I t T N B 7 L P U 6 L n e i / R 2 A z I C B r h u h e c j O 8 Z L Y / 7 S i R O F D + O z + j V a F I z H p + n C b M T D n s q E r I c z i 2 l Y W C J O c x d k Q 2 H R J r D v r J R H L Z 3 W o d Q b z W a C 8 0 L r + G D y b T 2 Q W y G D b 9 w V e E 8 H M S I k v s v b K 9 G V 4 J p t y K m f 5 2 Y m S t + 9 U z W o z M l a v I 7 4 P L j P U Y L T 8 i S z Q X h E t U M b a 4 9 V F O X / d Z l I M E C c / 1 / R z 6 M v v + f a j 2 I l F a W u 3 m g y S b R B X 6 8 G a c l b u p w + b K Z N L T K 8 J x s G p D O U u N q m M + r M O i v V t 5 X H 7 S a A M F N G / B 7 / T A v 1 g / T J f T c f p w r c V o g u J C 1 D y u v 0 G 9 X 8 N 0 f r s z y D 9 4 r x / v l + K A c H 5 b j o 3 J 8 / B e v G 1 u 1 x F Q t s f M J A A D / / w M A U E s B A i 0 A F A A G A A g A A A A h A C r d q k D S A A A A N w E A A B M A A A A A A A A A A A A A A A A A A A A A A F t D b 2 5 0 Z W 5 0 X 1 R 5 c G V z X S 5 4 b W x Q S w E C L Q A U A A I A C A A A A C E A Z q Q p N K 0 A A A D 3 A A A A E g A A A A A A A A A A A A A A A A A L A w A A Q 2 9 u Z m l n L 1 B h Y 2 t h Z 2 U u e G 1 s U E s B A i 0 A F A A C A A g A A A A h A P 5 V 0 d B / A Q A A / g I A A B M A A A A A A A A A A A A A A A A A 6 A M A A E Z v c m 1 1 b G F z L 1 N l Y 3 R p b 2 4 x L m 1 Q S w U G A A A A A A M A A w D C A A A A m A U 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Q P A A A A A A A A g g 8 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T d G F 0 a W 9 u Y X J 5 J T I w Y 2 9 t Y n V z d G l v b j 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Q t M D I t M j F U M T E 6 N D I 6 M T Y u N j g x M T M 0 M V o i L z 4 8 R W 5 0 c n k g V H l w Z T 0 i R m l s b E N v b H V t b l R 5 c G V z I i B W Y W x 1 Z T 0 i c 0 J n W U F B Q U F B Q U F B Q S I v P j x F b n R y e S B U e X B l P S J G a W x s Q 2 9 s d W 1 u T m F t Z X M i I F Z h b H V l P S J z W y Z x d W 9 0 O 1 R h Y m x l I D E u I C B D T z I g Z W 1 p c 3 N p b 2 4 g Z m F j d G 9 y c y B i e S B G d W V s J n F 1 b 3 Q 7 L C Z x d W 9 0 O 0 N v b H V t b j I m c X V v d D s s J n F 1 b 3 Q 7 Q 2 9 s d W 1 u M y Z x d W 9 0 O y w m c X V v d D t D b 2 x 1 b W 4 0 J n F 1 b 3 Q 7 L C Z x d W 9 0 O 0 N v b H V t b j U m c X V v d D s s J n F 1 b 3 Q 7 Q 2 9 s d W 1 u N i Z x d W 9 0 O y w m c X V v d D t D b 2 x 1 b W 4 3 J n F 1 b 3 Q 7 L C Z x d W 9 0 O 0 N v b H V t b j g m c X V v d D s s J n F 1 b 3 Q 7 Q 2 9 s d W 1 u O 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G U 1 O T V j Z W Y t N T F h N i 0 0 M j A 5 L W F j Z T k t N D c w N D Z k Y z Y 2 N z c z I i 8 + P E V u d H J 5 I F R 5 c G U 9 I l J l b G F 0 a W 9 u c 2 h p c E l u Z m 9 D b 2 5 0 Y W l u Z X I i I F Z h b H V l P S J z e y Z x d W 9 0 O 2 N v b H V t b k N v d W 5 0 J n F 1 b 3 Q 7 O j k s J n F 1 b 3 Q 7 a 2 V 5 Q 2 9 s d W 1 u T m F t Z X M m c X V v d D s 6 W 1 0 s J n F 1 b 3 Q 7 c X V l c n l S Z W x h d G l v b n N o a X B z J n F 1 b 3 Q 7 O l t d L C Z x d W 9 0 O 2 N v b H V t b k l k Z W 5 0 a X R p Z X M m c X V v d D s 6 W y Z x d W 9 0 O 1 N l Y 3 R p b 2 4 x L 1 N 0 Y X R p b 2 5 h c n k g Y 2 9 t Y n V z d G l v b i 9 B d X R v U m V t b 3 Z l Z E N v b H V t b n M x L n t U Y W J s Z S A x L i A g Q 0 8 y I G V t a X N z a W 9 u I G Z h Y 3 R v c n M g Y n k g R n V l b C w w f S Z x d W 9 0 O y w m c X V v d D t T Z W N 0 a W 9 u M S 9 T d G F 0 a W 9 u Y X J 5 I G N v b W J 1 c 3 R p b 2 4 v Q X V 0 b 1 J l b W 9 2 Z W R D b 2 x 1 b W 5 z M S 5 7 Q 2 9 s d W 1 u M i w x f S Z x d W 9 0 O y w m c X V v d D t T Z W N 0 a W 9 u M S 9 T d G F 0 a W 9 u Y X J 5 I G N v b W J 1 c 3 R p b 2 4 v Q X V 0 b 1 J l b W 9 2 Z W R D b 2 x 1 b W 5 z M S 5 7 Q 2 9 s d W 1 u M y w y f S Z x d W 9 0 O y w m c X V v d D t T Z W N 0 a W 9 u M S 9 T d G F 0 a W 9 u Y X J 5 I G N v b W J 1 c 3 R p b 2 4 v Q X V 0 b 1 J l b W 9 2 Z W R D b 2 x 1 b W 5 z M S 5 7 Q 2 9 s d W 1 u N C w z f S Z x d W 9 0 O y w m c X V v d D t T Z W N 0 a W 9 u M S 9 T d G F 0 a W 9 u Y X J 5 I G N v b W J 1 c 3 R p b 2 4 v Q X V 0 b 1 J l b W 9 2 Z W R D b 2 x 1 b W 5 z M S 5 7 Q 2 9 s d W 1 u N S w 0 f S Z x d W 9 0 O y w m c X V v d D t T Z W N 0 a W 9 u M S 9 T d G F 0 a W 9 u Y X J 5 I G N v b W J 1 c 3 R p b 2 4 v Q X V 0 b 1 J l b W 9 2 Z W R D b 2 x 1 b W 5 z M S 5 7 Q 2 9 s d W 1 u N i w 1 f S Z x d W 9 0 O y w m c X V v d D t T Z W N 0 a W 9 u M S 9 T d G F 0 a W 9 u Y X J 5 I G N v b W J 1 c 3 R p b 2 4 v Q X V 0 b 1 J l b W 9 2 Z W R D b 2 x 1 b W 5 z M S 5 7 Q 2 9 s d W 1 u N y w 2 f S Z x d W 9 0 O y w m c X V v d D t T Z W N 0 a W 9 u M S 9 T d G F 0 a W 9 u Y X J 5 I G N v b W J 1 c 3 R p b 2 4 v Q X V 0 b 1 J l b W 9 2 Z W R D b 2 x 1 b W 5 z M S 5 7 Q 2 9 s d W 1 u O C w 3 f S Z x d W 9 0 O y w m c X V v d D t T Z W N 0 a W 9 u M S 9 T d G F 0 a W 9 u Y X J 5 I G N v b W J 1 c 3 R p b 2 4 v Q X V 0 b 1 J l b W 9 2 Z W R D b 2 x 1 b W 5 z M S 5 7 Q 2 9 s d W 1 u O S w 4 f S Z x d W 9 0 O 1 0 s J n F 1 b 3 Q 7 Q 2 9 s d W 1 u Q 2 9 1 b n Q m c X V v d D s 6 O S w m c X V v d D t L Z X l D b 2 x 1 b W 5 O Y W 1 l c y Z x d W 9 0 O z p b X S w m c X V v d D t D b 2 x 1 b W 5 J Z G V u d G l 0 a W V z J n F 1 b 3 Q 7 O l s m c X V v d D t T Z W N 0 a W 9 u M S 9 T d G F 0 a W 9 u Y X J 5 I G N v b W J 1 c 3 R p b 2 4 v Q X V 0 b 1 J l b W 9 2 Z W R D b 2 x 1 b W 5 z M S 5 7 V G F i b G U g M S 4 g I E N P M i B l b W l z c 2 l v b i B m Y W N 0 b 3 J z I G J 5 I E Z 1 Z W w s M H 0 m c X V v d D s s J n F 1 b 3 Q 7 U 2 V j d G l v b j E v U 3 R h d G l v b m F y e S B j b 2 1 i d X N 0 a W 9 u L 0 F 1 d G 9 S Z W 1 v d m V k Q 2 9 s d W 1 u c z E u e 0 N v b H V t b j I s M X 0 m c X V v d D s s J n F 1 b 3 Q 7 U 2 V j d G l v b j E v U 3 R h d G l v b m F y e S B j b 2 1 i d X N 0 a W 9 u L 0 F 1 d G 9 S Z W 1 v d m V k Q 2 9 s d W 1 u c z E u e 0 N v b H V t b j M s M n 0 m c X V v d D s s J n F 1 b 3 Q 7 U 2 V j d G l v b j E v U 3 R h d G l v b m F y e S B j b 2 1 i d X N 0 a W 9 u L 0 F 1 d G 9 S Z W 1 v d m V k Q 2 9 s d W 1 u c z E u e 0 N v b H V t b j Q s M 3 0 m c X V v d D s s J n F 1 b 3 Q 7 U 2 V j d G l v b j E v U 3 R h d G l v b m F y e S B j b 2 1 i d X N 0 a W 9 u L 0 F 1 d G 9 S Z W 1 v d m V k Q 2 9 s d W 1 u c z E u e 0 N v b H V t b j U s N H 0 m c X V v d D s s J n F 1 b 3 Q 7 U 2 V j d G l v b j E v U 3 R h d G l v b m F y e S B j b 2 1 i d X N 0 a W 9 u L 0 F 1 d G 9 S Z W 1 v d m V k Q 2 9 s d W 1 u c z E u e 0 N v b H V t b j Y s N X 0 m c X V v d D s s J n F 1 b 3 Q 7 U 2 V j d G l v b j E v U 3 R h d G l v b m F y e S B j b 2 1 i d X N 0 a W 9 u L 0 F 1 d G 9 S Z W 1 v d m V k Q 2 9 s d W 1 u c z E u e 0 N v b H V t b j c s N n 0 m c X V v d D s s J n F 1 b 3 Q 7 U 2 V j d G l v b j E v U 3 R h d G l v b m F y e S B j b 2 1 i d X N 0 a W 9 u L 0 F 1 d G 9 S Z W 1 v d m V k Q 2 9 s d W 1 u c z E u e 0 N v b H V t b j g s N 3 0 m c X V v d D s s J n F 1 b 3 Q 7 U 2 V j d G l v b j E v U 3 R h d G l v b m F y e S B j b 2 1 i d X N 0 a W 9 u L 0 F 1 d G 9 S Z W 1 v d m V k Q 2 9 s d W 1 u c z E u e 0 N v b H V t b j k s O H 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1 N 0 Y X R p b 2 5 h c n k l M j B j b 2 1 i d X N 0 a W 9 u L 1 F 1 Z W x s Z T w v S X R l b V B h d G g + P C 9 J d G V t T G 9 j Y X R p b 2 4 + P F N 0 Y W J s Z U V u d H J p Z X M v P j w v S X R l b T 4 8 S X R l b T 4 8 S X R l b U x v Y 2 F 0 a W 9 u P j x J d G V t V H l w Z T 5 G b 3 J t d W x h P C 9 J d G V t V H l w Z T 4 8 S X R l b V B h d G g + U 2 V j d G l v b j E v U 3 R h d G l v b m F y e S U y M G N v b W J 1 c 3 R p b 2 4 v U 3 R h d G l v b m F y e S U y M G N v b W J 1 c 3 R p b 2 5 f U 2 h l Z X Q 8 L 0 l 0 Z W 1 Q Y X R o P j w v S X R l b U x v Y 2 F 0 a W 9 u P j x T d G F i b G V F b n R y a W V z L z 4 8 L 0 l 0 Z W 0 + P E l 0 Z W 0 + P E l 0 Z W 1 M b 2 N h d G l v b j 4 8 S X R l b V R 5 c G U + R m 9 y b X V s Y T w v S X R l b V R 5 c G U + P E l 0 Z W 1 Q Y X R o P l N l Y 3 R p b 2 4 x L 1 N 0 Y X R p b 2 5 h c n k l M j B j b 2 1 i d X N 0 a W 9 u L 0 g l Q z M l Q j Z o Z X I l M j B n Z X N 0 d W Z 0 Z S U y M E h l Y W R l c j w v S X R l b V B h d G g + P C 9 J d G V t T G 9 j Y X R p b 2 4 + P F N 0 Y W J s Z U V u d H J p Z X M v P j w v S X R l b T 4 8 S X R l b T 4 8 S X R l b U x v Y 2 F 0 a W 9 u P j x J d G V t V H l w Z T 5 G b 3 J t d W x h P C 9 J d G V t V H l w Z T 4 8 S X R l b V B h d G g + U 2 V j d G l v b j E v U 3 R h d G l v b m F y e S U y M G N v b W J 1 c 3 R p b 2 4 v R 2 U l Q z M l Q T R u Z G V y d G V y J T I w V H l w P C 9 J d G V t U G F 0 a D 4 8 L 0 l 0 Z W 1 M b 2 N h d G l v b j 4 8 U 3 R h Y m x l R W 5 0 c m l l c y 8 + P C 9 J d G V t P j x J d G V t P j x J d G V t T G 9 j Y X R p b 2 4 + P E l 0 Z W 1 U e X B l P k F s b E Z v c m 1 1 b G F z P C 9 J d G V t V H l w Z T 4 8 S X R l b V B h d G g + P C 9 J d G V t U G F 0 a D 4 8 L 0 l 0 Z W 1 M b 2 N h d G l v b j 4 8 U 3 R h Y m x l R W 5 0 c m l l c z 4 8 R W 5 0 c n k g V H l w Z T 0 i U X V l c n l H c m 9 1 c H M i I F Z h b H V l P S J z Q U F B Q U F B P T 0 i L z 4 8 R W 5 0 c n k g V H l w Z T 0 i U m V s Y X R p b 2 5 z a G l w c y I g V m F s d W U 9 I n N B Q U F B Q U E 9 P S I v P j w v U 3 R h Y m x l R W 5 0 c m l l c z 4 8 L 0 l 0 Z W 0 + P C 9 J d G V t c z 4 8 L 0 x v Y 2 F s U G F j a 2 F n Z U 1 l d G F k Y X R h R m l s Z T 4 W A A A A U E s F B g A A A A A A A A A A A A A A A A A A A A A A A C Y B A A A B A A A A 0 I y d 3 w E V 0 R G M e g D A T 8 K X 6 w E A A A A + z 1 6 X 8 E G p Q L / R z 4 L 4 h W D y A A A A A A I A A A A A A B B m A A A A A Q A A I A A A A F a Q C I g m i w e 3 i s A P H d Y n 5 a 2 r q B v J J o h w y S 1 g q m h Y Q x L X A A A A A A 6 A A A A A A g A A I A A A A O t P U W O A H 3 b + U y H 4 3 u R d F V I z r L o q p V J K l t x O X 8 G Y L Q i 8 U A A A A I 3 D o r 4 1 q I s 6 k A q h C 6 1 V 8 i Z 8 C z O F y q a F 9 r 5 3 d N 8 D g B 7 E Q U X F o x 5 E Q G n X 8 u k + W H y q 7 Z n / 9 I i z c 8 5 T j c 1 Z D i F D L e i e g R E y L t A a 7 v J + D Q u O M T x R Q A A A A B g r 3 e w e P I E f v 3 5 u T W 9 C P x l / 0 V P m q y 4 B P 4 g 7 T a i + T 8 s a q w O S L w t Z S v 2 M s a w G H 7 f U 0 r X W 6 x S B J 6 t z K j T J F i n 3 V 5 4 = < / D a t a M a s h u p > 
</file>

<file path=customXml/item3.xml><?xml version="1.0" encoding="utf-8"?>
<ct:contentTypeSchema xmlns:ct="http://schemas.microsoft.com/office/2006/metadata/contentType" xmlns:ma="http://schemas.microsoft.com/office/2006/metadata/properties/metaAttributes" ct:_="" ma:_="" ma:contentTypeName="Document" ma:contentTypeID="0x01010056EE6BB248C2AD468E4037D2DB832D8B" ma:contentTypeVersion="16" ma:contentTypeDescription="Create a new document." ma:contentTypeScope="" ma:versionID="75a57bc9a89e9a0143d57eab241b26ce">
  <xsd:schema xmlns:xsd="http://www.w3.org/2001/XMLSchema" xmlns:xs="http://www.w3.org/2001/XMLSchema" xmlns:p="http://schemas.microsoft.com/office/2006/metadata/properties" xmlns:ns2="439c6990-dae6-468d-854b-dd7a2aa5af7f" xmlns:ns3="a6eb3737-d781-4d91-b9cc-0e75405b8ff0" targetNamespace="http://schemas.microsoft.com/office/2006/metadata/properties" ma:root="true" ma:fieldsID="41e4f6152c5411ce9ab986a2291aa2eb" ns2:_="" ns3:_="">
    <xsd:import namespace="439c6990-dae6-468d-854b-dd7a2aa5af7f"/>
    <xsd:import namespace="a6eb3737-d781-4d91-b9cc-0e75405b8ff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SearchProperties" minOccurs="0"/>
                <xsd:element ref="ns2:margit"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9c6990-dae6-468d-854b-dd7a2aa5af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b62a7fa-ac58-4c5d-aaaf-2cd95b92423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argit" ma:index="21" nillable="true" ma:displayName="margit" ma:format="Dropdown" ma:list="UserInfo" ma:SharePointGroup="0" ma:internalName="margi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b3737-d781-4d91-b9cc-0e75405b8ff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01fbfc9-2e5f-4f27-9197-60028a5f32b2}" ma:internalName="TaxCatchAll" ma:showField="CatchAllData" ma:web="a6eb3737-d781-4d91-b9cc-0e75405b8ff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F3FB9D-08C5-489D-A4A6-26B901EE3F68}">
  <ds:schemaRefs>
    <ds:schemaRef ds:uri="http://schemas.microsoft.com/office/2006/metadata/properties"/>
    <ds:schemaRef ds:uri="http://schemas.microsoft.com/office/infopath/2007/PartnerControls"/>
    <ds:schemaRef ds:uri="a6eb3737-d781-4d91-b9cc-0e75405b8ff0"/>
    <ds:schemaRef ds:uri="439c6990-dae6-468d-854b-dd7a2aa5af7f"/>
  </ds:schemaRefs>
</ds:datastoreItem>
</file>

<file path=customXml/itemProps2.xml><?xml version="1.0" encoding="utf-8"?>
<ds:datastoreItem xmlns:ds="http://schemas.openxmlformats.org/officeDocument/2006/customXml" ds:itemID="{8EEFEAD0-D495-4B22-9FBE-B9585E712181}">
  <ds:schemaRefs>
    <ds:schemaRef ds:uri="http://schemas.microsoft.com/DataMashup"/>
  </ds:schemaRefs>
</ds:datastoreItem>
</file>

<file path=customXml/itemProps3.xml><?xml version="1.0" encoding="utf-8"?>
<ds:datastoreItem xmlns:ds="http://schemas.openxmlformats.org/officeDocument/2006/customXml" ds:itemID="{6B97719E-0293-43C6-B89C-C36106E32E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9c6990-dae6-468d-854b-dd7a2aa5af7f"/>
    <ds:schemaRef ds:uri="a6eb3737-d781-4d91-b9cc-0e75405b8f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110CCB2-C8B4-4F1C-BC53-6BC7EA8848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Hojas de cálculo</vt:lpstr>
      </vt:variant>
      <vt:variant>
        <vt:i4>31</vt:i4>
      </vt:variant>
      <vt:variant>
        <vt:lpstr>Rangos con nombre</vt:lpstr>
      </vt:variant>
      <vt:variant>
        <vt:i4>3</vt:i4>
      </vt:variant>
    </vt:vector>
  </HeadingPairs>
  <TitlesOfParts>
    <vt:vector size="34" baseType="lpstr">
      <vt:lpstr>Intro Terra</vt:lpstr>
      <vt:lpstr>Cambios Nov-24</vt:lpstr>
      <vt:lpstr>IWCA GHG Boundaries</vt:lpstr>
      <vt:lpstr>Summary</vt:lpstr>
      <vt:lpstr>GHG Emissons Breakdown</vt:lpstr>
      <vt:lpstr>Audit Summary Form</vt:lpstr>
      <vt:lpstr>Emission Factors</vt:lpstr>
      <vt:lpstr>Stationary</vt:lpstr>
      <vt:lpstr>Mobile</vt:lpstr>
      <vt:lpstr>Soil and Fertilizer</vt:lpstr>
      <vt:lpstr>Onsite Waste</vt:lpstr>
      <vt:lpstr>Fugitive (refrigerants)</vt:lpstr>
      <vt:lpstr>Biomass Burning</vt:lpstr>
      <vt:lpstr>Land Conversion</vt:lpstr>
      <vt:lpstr>Electricity</vt:lpstr>
      <vt:lpstr>Packaging</vt:lpstr>
      <vt:lpstr>Purchased Products</vt:lpstr>
      <vt:lpstr>Product Transport</vt:lpstr>
      <vt:lpstr>Offsite Waste</vt:lpstr>
      <vt:lpstr>Post Consumer Waste</vt:lpstr>
      <vt:lpstr>Business Travel</vt:lpstr>
      <vt:lpstr>Employee Commuting</vt:lpstr>
      <vt:lpstr>Tasting Room Traffic</vt:lpstr>
      <vt:lpstr>Fertilizer Production</vt:lpstr>
      <vt:lpstr>Wine Storage Energy</vt:lpstr>
      <vt:lpstr>Vineyard - Row Cropping</vt:lpstr>
      <vt:lpstr>Winemaking</vt:lpstr>
      <vt:lpstr>Vineyard - Biomass Photosynth</vt:lpstr>
      <vt:lpstr>Compost Application</vt:lpstr>
      <vt:lpstr>Soil Carbon Sequestration</vt:lpstr>
      <vt:lpstr>Emission Factors (2)</vt:lpstr>
      <vt:lpstr>'Audit Summary Form'!Área_de_impresión</vt:lpstr>
      <vt:lpstr>'Emission Factors'!OLE_LINK3</vt:lpstr>
      <vt:lpstr>'Emission Factors (2)'!OLE_LINK3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Prigge</dc:creator>
  <cp:keywords/>
  <dc:description/>
  <cp:lastModifiedBy>Domaine Bousquet</cp:lastModifiedBy>
  <cp:revision/>
  <dcterms:created xsi:type="dcterms:W3CDTF">2018-04-06T19:26:16Z</dcterms:created>
  <dcterms:modified xsi:type="dcterms:W3CDTF">2024-11-11T11:52:50Z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0x01010056EE6BB248C2AD468E4037D2DB832D8B</vt:lpwstr>
  </property>
  <property fmtid="{D5CDD505-2E9C-101B-9397-08002B2CF9AE}" pid="3" name="AuthorIds_UIVersion_512">
    <vt:lpwstr>26</vt:lpwstr>
  </property>
  <property fmtid="{D5CDD505-2E9C-101B-9397-08002B2CF9AE}" pid="4" name="MediaServiceImageTags">
    <vt:lpwstr/>
  </property>
  <property fmtid="{D5CDD505-2E9C-101B-9397-08002B2CF9AE}" pid="5" name="Order">
    <vt:r8>201900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